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codeName="ThisWorkbook" autoCompressPictures="0"/>
  <bookViews>
    <workbookView xWindow="-15" yWindow="-15" windowWidth="20610" windowHeight="11640" tabRatio="500"/>
  </bookViews>
  <sheets>
    <sheet name="Intro" sheetId="4" r:id="rId1"/>
    <sheet name="Frequency" sheetId="1" r:id="rId2"/>
    <sheet name="Gap Risk" sheetId="2" r:id="rId3"/>
    <sheet name="Theta Decay" sheetId="6" r:id="rId4"/>
    <sheet name="Expected Profit" sheetId="5" r:id="rId5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9" i="5" l="1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M9" i="5"/>
  <c r="F2" i="5"/>
  <c r="C3" i="5" s="1"/>
  <c r="W29" i="1"/>
  <c r="T29" i="1"/>
  <c r="O29" i="1"/>
  <c r="P29" i="1" s="1"/>
  <c r="J29" i="1"/>
  <c r="F29" i="1"/>
  <c r="E29" i="1"/>
  <c r="D29" i="1"/>
  <c r="W28" i="1"/>
  <c r="T28" i="1"/>
  <c r="P28" i="1"/>
  <c r="O28" i="1"/>
  <c r="J28" i="1"/>
  <c r="E28" i="1"/>
  <c r="D28" i="1"/>
  <c r="W27" i="1"/>
  <c r="T27" i="1"/>
  <c r="O27" i="1"/>
  <c r="P27" i="1" s="1"/>
  <c r="J27" i="1"/>
  <c r="E27" i="1"/>
  <c r="D27" i="1"/>
  <c r="F27" i="1" s="1"/>
  <c r="W26" i="1"/>
  <c r="T26" i="1"/>
  <c r="O26" i="1"/>
  <c r="P26" i="1" s="1"/>
  <c r="J26" i="1"/>
  <c r="E26" i="1"/>
  <c r="D26" i="1"/>
  <c r="W25" i="1"/>
  <c r="T25" i="1"/>
  <c r="O25" i="1"/>
  <c r="P25" i="1" s="1"/>
  <c r="J25" i="1"/>
  <c r="F25" i="1"/>
  <c r="E25" i="1"/>
  <c r="D25" i="1"/>
  <c r="F26" i="1" s="1"/>
  <c r="W24" i="1"/>
  <c r="T24" i="1"/>
  <c r="P24" i="1"/>
  <c r="O24" i="1"/>
  <c r="J24" i="1"/>
  <c r="E24" i="1"/>
  <c r="D24" i="1"/>
  <c r="W23" i="1"/>
  <c r="T23" i="1"/>
  <c r="O23" i="1"/>
  <c r="P23" i="1" s="1"/>
  <c r="J23" i="1"/>
  <c r="E23" i="1"/>
  <c r="D23" i="1"/>
  <c r="F23" i="1" s="1"/>
  <c r="W22" i="1"/>
  <c r="T22" i="1"/>
  <c r="O22" i="1"/>
  <c r="J22" i="1"/>
  <c r="E22" i="1"/>
  <c r="D22" i="1"/>
  <c r="W21" i="1"/>
  <c r="T21" i="1"/>
  <c r="O21" i="1"/>
  <c r="P22" i="1" s="1"/>
  <c r="J21" i="1"/>
  <c r="F21" i="1"/>
  <c r="E21" i="1"/>
  <c r="D21" i="1"/>
  <c r="F22" i="1" s="1"/>
  <c r="W20" i="1"/>
  <c r="T20" i="1"/>
  <c r="P20" i="1"/>
  <c r="O20" i="1"/>
  <c r="J20" i="1"/>
  <c r="E20" i="1"/>
  <c r="D20" i="1"/>
  <c r="W19" i="1"/>
  <c r="T19" i="1"/>
  <c r="O19" i="1"/>
  <c r="P19" i="1" s="1"/>
  <c r="J19" i="1"/>
  <c r="E19" i="1"/>
  <c r="D19" i="1"/>
  <c r="F19" i="1" s="1"/>
  <c r="W18" i="1"/>
  <c r="T18" i="1"/>
  <c r="O18" i="1"/>
  <c r="P18" i="1" s="1"/>
  <c r="J18" i="1"/>
  <c r="E18" i="1"/>
  <c r="D18" i="1"/>
  <c r="F18" i="1" s="1"/>
  <c r="W17" i="1"/>
  <c r="T17" i="1"/>
  <c r="O17" i="1"/>
  <c r="P17" i="1" s="1"/>
  <c r="J17" i="1"/>
  <c r="E17" i="1"/>
  <c r="D17" i="1"/>
  <c r="F17" i="1" s="1"/>
  <c r="W16" i="1"/>
  <c r="T16" i="1"/>
  <c r="O16" i="1"/>
  <c r="P16" i="1" s="1"/>
  <c r="J16" i="1"/>
  <c r="E16" i="1"/>
  <c r="D16" i="1"/>
  <c r="F16" i="1" s="1"/>
  <c r="W15" i="1"/>
  <c r="T15" i="1"/>
  <c r="O15" i="1"/>
  <c r="P15" i="1" s="1"/>
  <c r="J15" i="1"/>
  <c r="E15" i="1"/>
  <c r="D15" i="1"/>
  <c r="F15" i="1" s="1"/>
  <c r="W14" i="1"/>
  <c r="T14" i="1"/>
  <c r="O14" i="1"/>
  <c r="P14" i="1" s="1"/>
  <c r="J14" i="1"/>
  <c r="E14" i="1"/>
  <c r="D14" i="1"/>
  <c r="F14" i="1" s="1"/>
  <c r="W13" i="1"/>
  <c r="T13" i="1"/>
  <c r="O13" i="1"/>
  <c r="P13" i="1" s="1"/>
  <c r="J13" i="1"/>
  <c r="E13" i="1"/>
  <c r="D13" i="1"/>
  <c r="F13" i="1" s="1"/>
  <c r="W12" i="1"/>
  <c r="T12" i="1"/>
  <c r="O12" i="1"/>
  <c r="P12" i="1" s="1"/>
  <c r="J12" i="1"/>
  <c r="E12" i="1"/>
  <c r="D12" i="1"/>
  <c r="F12" i="1" s="1"/>
  <c r="W11" i="1"/>
  <c r="T11" i="1"/>
  <c r="O11" i="1"/>
  <c r="P11" i="1" s="1"/>
  <c r="J11" i="1"/>
  <c r="E11" i="1"/>
  <c r="D11" i="1"/>
  <c r="F11" i="1" s="1"/>
  <c r="W10" i="1"/>
  <c r="T10" i="1"/>
  <c r="O10" i="1"/>
  <c r="J10" i="1"/>
  <c r="E10" i="1"/>
  <c r="D10" i="1"/>
  <c r="F10" i="1" s="1"/>
  <c r="T9" i="1"/>
  <c r="O9" i="1"/>
  <c r="P9" i="1" s="1"/>
  <c r="J9" i="1"/>
  <c r="E9" i="1"/>
  <c r="D9" i="1"/>
  <c r="F9" i="1" s="1"/>
  <c r="H2" i="1"/>
  <c r="G2" i="1"/>
  <c r="F2" i="1"/>
  <c r="W29" i="2"/>
  <c r="O11" i="2"/>
  <c r="O12" i="2"/>
  <c r="P12" i="2"/>
  <c r="O15" i="2"/>
  <c r="O16" i="2"/>
  <c r="P16" i="2" s="1"/>
  <c r="O19" i="2"/>
  <c r="P19" i="2"/>
  <c r="O20" i="2"/>
  <c r="P20" i="2" s="1"/>
  <c r="O23" i="2"/>
  <c r="P24" i="2" s="1"/>
  <c r="O24" i="2"/>
  <c r="O27" i="2"/>
  <c r="P27" i="2" s="1"/>
  <c r="O28" i="2"/>
  <c r="P28" i="2"/>
  <c r="P29" i="2"/>
  <c r="T29" i="2"/>
  <c r="O29" i="2"/>
  <c r="D10" i="2"/>
  <c r="F11" i="2" s="1"/>
  <c r="D11" i="2"/>
  <c r="D12" i="2"/>
  <c r="F13" i="2" s="1"/>
  <c r="D13" i="2"/>
  <c r="D14" i="2"/>
  <c r="F15" i="2" s="1"/>
  <c r="D15" i="2"/>
  <c r="D16" i="2"/>
  <c r="F16" i="2" s="1"/>
  <c r="D18" i="2"/>
  <c r="F18" i="2"/>
  <c r="D19" i="2"/>
  <c r="F19" i="2" s="1"/>
  <c r="D20" i="2"/>
  <c r="F20" i="2"/>
  <c r="D21" i="2"/>
  <c r="F21" i="2" s="1"/>
  <c r="D22" i="2"/>
  <c r="F22" i="2"/>
  <c r="D23" i="2"/>
  <c r="F23" i="2" s="1"/>
  <c r="D24" i="2"/>
  <c r="F24" i="2"/>
  <c r="D25" i="2"/>
  <c r="F25" i="2" s="1"/>
  <c r="D26" i="2"/>
  <c r="F26" i="2"/>
  <c r="D27" i="2"/>
  <c r="F27" i="2" s="1"/>
  <c r="D28" i="2"/>
  <c r="F28" i="2"/>
  <c r="D29" i="2"/>
  <c r="F29" i="2" s="1"/>
  <c r="J29" i="2"/>
  <c r="E29" i="2"/>
  <c r="W28" i="2"/>
  <c r="T28" i="2"/>
  <c r="J28" i="2"/>
  <c r="E28" i="2"/>
  <c r="W27" i="2"/>
  <c r="T27" i="2"/>
  <c r="J27" i="2"/>
  <c r="E27" i="2"/>
  <c r="W26" i="2"/>
  <c r="T26" i="2"/>
  <c r="O26" i="2"/>
  <c r="P26" i="2" s="1"/>
  <c r="J26" i="2"/>
  <c r="E26" i="2"/>
  <c r="W25" i="2"/>
  <c r="T25" i="2"/>
  <c r="O25" i="2"/>
  <c r="P25" i="2" s="1"/>
  <c r="J25" i="2"/>
  <c r="E25" i="2"/>
  <c r="W24" i="2"/>
  <c r="T24" i="2"/>
  <c r="J24" i="2"/>
  <c r="E24" i="2"/>
  <c r="W23" i="2"/>
  <c r="T23" i="2"/>
  <c r="J23" i="2"/>
  <c r="E23" i="2"/>
  <c r="W22" i="2"/>
  <c r="T22" i="2"/>
  <c r="O22" i="2"/>
  <c r="J22" i="2"/>
  <c r="E22" i="2"/>
  <c r="W21" i="2"/>
  <c r="T21" i="2"/>
  <c r="O21" i="2"/>
  <c r="P21" i="2" s="1"/>
  <c r="J21" i="2"/>
  <c r="E21" i="2"/>
  <c r="W20" i="2"/>
  <c r="T20" i="2"/>
  <c r="J20" i="2"/>
  <c r="E20" i="2"/>
  <c r="W19" i="2"/>
  <c r="T19" i="2"/>
  <c r="J19" i="2"/>
  <c r="E19" i="2"/>
  <c r="W18" i="2"/>
  <c r="T18" i="2"/>
  <c r="P18" i="2"/>
  <c r="O18" i="2"/>
  <c r="J18" i="2"/>
  <c r="E18" i="2"/>
  <c r="W17" i="2"/>
  <c r="T17" i="2"/>
  <c r="O17" i="2"/>
  <c r="P17" i="2" s="1"/>
  <c r="J17" i="2"/>
  <c r="E17" i="2"/>
  <c r="D17" i="2"/>
  <c r="F17" i="2" s="1"/>
  <c r="W16" i="2"/>
  <c r="T16" i="2"/>
  <c r="J16" i="2"/>
  <c r="E16" i="2"/>
  <c r="W15" i="2"/>
  <c r="T15" i="2"/>
  <c r="J15" i="2"/>
  <c r="E15" i="2"/>
  <c r="W14" i="2"/>
  <c r="T14" i="2"/>
  <c r="P14" i="2"/>
  <c r="O14" i="2"/>
  <c r="P15" i="2" s="1"/>
  <c r="J14" i="2"/>
  <c r="E14" i="2"/>
  <c r="W13" i="2"/>
  <c r="T13" i="2"/>
  <c r="O13" i="2"/>
  <c r="P13" i="2" s="1"/>
  <c r="J13" i="2"/>
  <c r="E13" i="2"/>
  <c r="W12" i="2"/>
  <c r="T12" i="2"/>
  <c r="J12" i="2"/>
  <c r="E12" i="2"/>
  <c r="W11" i="2"/>
  <c r="T11" i="2"/>
  <c r="J11" i="2"/>
  <c r="E11" i="2"/>
  <c r="W10" i="2"/>
  <c r="T10" i="2"/>
  <c r="O10" i="2"/>
  <c r="P10" i="2" s="1"/>
  <c r="J10" i="2"/>
  <c r="E10" i="2"/>
  <c r="T9" i="2"/>
  <c r="P9" i="2"/>
  <c r="O9" i="2"/>
  <c r="J9" i="2"/>
  <c r="I9" i="2"/>
  <c r="K9" i="2" s="1"/>
  <c r="G9" i="2"/>
  <c r="H9" i="2" s="1"/>
  <c r="F9" i="2"/>
  <c r="E9" i="2"/>
  <c r="D9" i="2"/>
  <c r="F2" i="2"/>
  <c r="G2" i="2"/>
  <c r="H2" i="2" s="1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D9" i="6"/>
  <c r="F9" i="6" s="1"/>
  <c r="D10" i="6"/>
  <c r="F10" i="6"/>
  <c r="D11" i="6"/>
  <c r="F11" i="6" s="1"/>
  <c r="D12" i="6"/>
  <c r="F12" i="6"/>
  <c r="D13" i="6"/>
  <c r="F13" i="6" s="1"/>
  <c r="D14" i="6"/>
  <c r="F14" i="6"/>
  <c r="D15" i="6"/>
  <c r="F15" i="6" s="1"/>
  <c r="D16" i="6"/>
  <c r="F16" i="6"/>
  <c r="D17" i="6"/>
  <c r="F17" i="6" s="1"/>
  <c r="D18" i="6"/>
  <c r="F18" i="6"/>
  <c r="D19" i="6"/>
  <c r="F19" i="6" s="1"/>
  <c r="D20" i="6"/>
  <c r="F20" i="6"/>
  <c r="D21" i="6"/>
  <c r="F22" i="6" s="1"/>
  <c r="D22" i="6"/>
  <c r="D23" i="6"/>
  <c r="F23" i="6" s="1"/>
  <c r="D24" i="6"/>
  <c r="D25" i="6"/>
  <c r="F25" i="6" s="1"/>
  <c r="D26" i="6"/>
  <c r="D27" i="6"/>
  <c r="F27" i="6" s="1"/>
  <c r="D28" i="6"/>
  <c r="D29" i="6"/>
  <c r="F29" i="6" s="1"/>
  <c r="J29" i="6"/>
  <c r="J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E9" i="6"/>
  <c r="G26" i="6" l="1"/>
  <c r="G14" i="6"/>
  <c r="G17" i="6"/>
  <c r="G16" i="6"/>
  <c r="G12" i="6"/>
  <c r="G20" i="6"/>
  <c r="G19" i="6"/>
  <c r="G15" i="6"/>
  <c r="G11" i="6"/>
  <c r="G18" i="6"/>
  <c r="G10" i="6"/>
  <c r="G13" i="6"/>
  <c r="G9" i="6"/>
  <c r="F28" i="6"/>
  <c r="G28" i="6" s="1"/>
  <c r="F26" i="6"/>
  <c r="F24" i="6"/>
  <c r="F21" i="6"/>
  <c r="G21" i="6" s="1"/>
  <c r="G29" i="2"/>
  <c r="G14" i="2"/>
  <c r="G24" i="2"/>
  <c r="Q15" i="2"/>
  <c r="Q10" i="2"/>
  <c r="G22" i="2"/>
  <c r="Q17" i="2"/>
  <c r="Q13" i="2"/>
  <c r="Q18" i="2"/>
  <c r="P22" i="2"/>
  <c r="Q25" i="2" s="1"/>
  <c r="P11" i="2"/>
  <c r="Q20" i="2" s="1"/>
  <c r="Q25" i="1"/>
  <c r="Q21" i="1"/>
  <c r="Q16" i="1"/>
  <c r="Q15" i="1"/>
  <c r="Q12" i="1"/>
  <c r="Q11" i="1"/>
  <c r="Q24" i="1"/>
  <c r="Q20" i="1"/>
  <c r="Q19" i="1"/>
  <c r="Q26" i="1"/>
  <c r="Q9" i="1"/>
  <c r="Q9" i="2"/>
  <c r="Q11" i="2"/>
  <c r="G26" i="1"/>
  <c r="G23" i="1"/>
  <c r="G22" i="1"/>
  <c r="G21" i="1"/>
  <c r="G19" i="1"/>
  <c r="G9" i="1"/>
  <c r="G18" i="1"/>
  <c r="G17" i="1"/>
  <c r="G16" i="1"/>
  <c r="G15" i="1"/>
  <c r="G14" i="1"/>
  <c r="G13" i="1"/>
  <c r="G12" i="1"/>
  <c r="G11" i="1"/>
  <c r="G10" i="1"/>
  <c r="F20" i="1"/>
  <c r="G28" i="1" s="1"/>
  <c r="F24" i="1"/>
  <c r="G27" i="1" s="1"/>
  <c r="F28" i="1"/>
  <c r="F14" i="2"/>
  <c r="F12" i="2"/>
  <c r="F10" i="2"/>
  <c r="G28" i="2" s="1"/>
  <c r="P23" i="2"/>
  <c r="P10" i="1"/>
  <c r="Q29" i="1" s="1"/>
  <c r="P21" i="1"/>
  <c r="J9" i="5"/>
  <c r="J25" i="5"/>
  <c r="J21" i="5"/>
  <c r="J17" i="5"/>
  <c r="J13" i="5"/>
  <c r="E11" i="5"/>
  <c r="L11" i="5" s="1"/>
  <c r="E13" i="5"/>
  <c r="L13" i="5" s="1"/>
  <c r="E15" i="5"/>
  <c r="L15" i="5" s="1"/>
  <c r="E17" i="5"/>
  <c r="L17" i="5" s="1"/>
  <c r="E19" i="5"/>
  <c r="L19" i="5" s="1"/>
  <c r="E21" i="5"/>
  <c r="L21" i="5" s="1"/>
  <c r="E23" i="5"/>
  <c r="L23" i="5" s="1"/>
  <c r="E25" i="5"/>
  <c r="L25" i="5" s="1"/>
  <c r="E27" i="5"/>
  <c r="L27" i="5" s="1"/>
  <c r="E29" i="5"/>
  <c r="L29" i="5" s="1"/>
  <c r="D10" i="5"/>
  <c r="D12" i="5"/>
  <c r="D14" i="5"/>
  <c r="F14" i="5" s="1"/>
  <c r="D16" i="5"/>
  <c r="D18" i="5"/>
  <c r="D20" i="5"/>
  <c r="D22" i="5"/>
  <c r="F22" i="5" s="1"/>
  <c r="D24" i="5"/>
  <c r="D26" i="5"/>
  <c r="D28" i="5"/>
  <c r="J26" i="5"/>
  <c r="J22" i="5"/>
  <c r="J18" i="5"/>
  <c r="J14" i="5"/>
  <c r="J10" i="5"/>
  <c r="E9" i="5"/>
  <c r="J27" i="5"/>
  <c r="J23" i="5"/>
  <c r="J19" i="5"/>
  <c r="J15" i="5"/>
  <c r="J11" i="5"/>
  <c r="E12" i="5"/>
  <c r="L12" i="5" s="1"/>
  <c r="E14" i="5"/>
  <c r="L14" i="5" s="1"/>
  <c r="E16" i="5"/>
  <c r="L16" i="5" s="1"/>
  <c r="E18" i="5"/>
  <c r="L18" i="5" s="1"/>
  <c r="E20" i="5"/>
  <c r="L20" i="5" s="1"/>
  <c r="E22" i="5"/>
  <c r="L22" i="5" s="1"/>
  <c r="E24" i="5"/>
  <c r="L24" i="5" s="1"/>
  <c r="E26" i="5"/>
  <c r="L26" i="5" s="1"/>
  <c r="E28" i="5"/>
  <c r="L28" i="5" s="1"/>
  <c r="E10" i="5"/>
  <c r="L10" i="5" s="1"/>
  <c r="D9" i="5"/>
  <c r="F9" i="5" s="1"/>
  <c r="D11" i="5"/>
  <c r="F11" i="5" s="1"/>
  <c r="D13" i="5"/>
  <c r="F13" i="5" s="1"/>
  <c r="D15" i="5"/>
  <c r="F15" i="5" s="1"/>
  <c r="D17" i="5"/>
  <c r="F17" i="5" s="1"/>
  <c r="D19" i="5"/>
  <c r="F19" i="5" s="1"/>
  <c r="D21" i="5"/>
  <c r="F21" i="5" s="1"/>
  <c r="D23" i="5"/>
  <c r="F23" i="5" s="1"/>
  <c r="D25" i="5"/>
  <c r="F25" i="5" s="1"/>
  <c r="D27" i="5"/>
  <c r="F27" i="5" s="1"/>
  <c r="D29" i="5"/>
  <c r="F29" i="5" s="1"/>
  <c r="J29" i="5"/>
  <c r="J28" i="5"/>
  <c r="J24" i="5"/>
  <c r="J20" i="5"/>
  <c r="J16" i="5"/>
  <c r="J12" i="5"/>
  <c r="I28" i="1" l="1"/>
  <c r="K28" i="1" s="1"/>
  <c r="H28" i="1"/>
  <c r="R29" i="1"/>
  <c r="S29" i="1"/>
  <c r="U29" i="1" s="1"/>
  <c r="S20" i="2"/>
  <c r="U20" i="2" s="1"/>
  <c r="R20" i="2"/>
  <c r="R25" i="2"/>
  <c r="S25" i="2"/>
  <c r="U25" i="2" s="1"/>
  <c r="H28" i="2"/>
  <c r="I28" i="2"/>
  <c r="K28" i="2" s="1"/>
  <c r="I27" i="1"/>
  <c r="K27" i="1" s="1"/>
  <c r="H27" i="1"/>
  <c r="H28" i="6"/>
  <c r="I28" i="6"/>
  <c r="K28" i="6" s="1"/>
  <c r="H21" i="6"/>
  <c r="I21" i="6"/>
  <c r="K21" i="6" s="1"/>
  <c r="G9" i="5"/>
  <c r="F24" i="5"/>
  <c r="F16" i="5"/>
  <c r="I10" i="1"/>
  <c r="K10" i="1" s="1"/>
  <c r="H10" i="1"/>
  <c r="I14" i="1"/>
  <c r="K14" i="1" s="1"/>
  <c r="H14" i="1"/>
  <c r="I18" i="1"/>
  <c r="K18" i="1" s="1"/>
  <c r="H18" i="1"/>
  <c r="I21" i="1"/>
  <c r="K21" i="1" s="1"/>
  <c r="H21" i="1"/>
  <c r="G25" i="1"/>
  <c r="G29" i="1"/>
  <c r="Q22" i="1"/>
  <c r="Q27" i="1"/>
  <c r="Q10" i="1"/>
  <c r="Q14" i="1"/>
  <c r="Q18" i="1"/>
  <c r="Q14" i="2"/>
  <c r="Q27" i="2"/>
  <c r="Q23" i="2"/>
  <c r="Q21" i="2"/>
  <c r="G19" i="2"/>
  <c r="G23" i="2"/>
  <c r="G26" i="2"/>
  <c r="H10" i="6"/>
  <c r="I10" i="6"/>
  <c r="K10" i="6" s="1"/>
  <c r="I15" i="6"/>
  <c r="K15" i="6" s="1"/>
  <c r="H15" i="6"/>
  <c r="G24" i="6"/>
  <c r="G25" i="6"/>
  <c r="H14" i="6"/>
  <c r="I14" i="6"/>
  <c r="K14" i="6" s="1"/>
  <c r="H22" i="1"/>
  <c r="I22" i="1"/>
  <c r="K22" i="1" s="1"/>
  <c r="R26" i="1"/>
  <c r="S26" i="1"/>
  <c r="U26" i="1" s="1"/>
  <c r="R21" i="1"/>
  <c r="S21" i="1"/>
  <c r="U21" i="1" s="1"/>
  <c r="Q24" i="2"/>
  <c r="I24" i="2"/>
  <c r="K24" i="2" s="1"/>
  <c r="H24" i="2"/>
  <c r="H14" i="2"/>
  <c r="I14" i="2"/>
  <c r="K14" i="2" s="1"/>
  <c r="I18" i="6"/>
  <c r="K18" i="6" s="1"/>
  <c r="H18" i="6"/>
  <c r="H19" i="6"/>
  <c r="I19" i="6"/>
  <c r="K19" i="6" s="1"/>
  <c r="H12" i="6"/>
  <c r="I12" i="6"/>
  <c r="K12" i="6" s="1"/>
  <c r="H26" i="6"/>
  <c r="I26" i="6"/>
  <c r="K26" i="6" s="1"/>
  <c r="I11" i="1"/>
  <c r="K11" i="1" s="1"/>
  <c r="H11" i="1"/>
  <c r="I15" i="1"/>
  <c r="K15" i="1" s="1"/>
  <c r="H15" i="1"/>
  <c r="H26" i="1"/>
  <c r="I26" i="1"/>
  <c r="K26" i="1" s="1"/>
  <c r="S11" i="2"/>
  <c r="U11" i="2" s="1"/>
  <c r="R11" i="2"/>
  <c r="R20" i="1"/>
  <c r="S20" i="1"/>
  <c r="U20" i="1" s="1"/>
  <c r="S11" i="1"/>
  <c r="U11" i="1" s="1"/>
  <c r="R11" i="1"/>
  <c r="S15" i="1"/>
  <c r="U15" i="1" s="1"/>
  <c r="R15" i="1"/>
  <c r="Q28" i="2"/>
  <c r="I22" i="2"/>
  <c r="K22" i="2" s="1"/>
  <c r="H22" i="2"/>
  <c r="S15" i="2"/>
  <c r="U15" i="2" s="1"/>
  <c r="R15" i="2"/>
  <c r="H29" i="2"/>
  <c r="I29" i="2"/>
  <c r="K29" i="2" s="1"/>
  <c r="F28" i="5"/>
  <c r="F20" i="5"/>
  <c r="F12" i="5"/>
  <c r="G11" i="2"/>
  <c r="G20" i="2"/>
  <c r="G16" i="2"/>
  <c r="G17" i="2"/>
  <c r="G13" i="2"/>
  <c r="G12" i="2"/>
  <c r="I12" i="1"/>
  <c r="K12" i="1" s="1"/>
  <c r="H12" i="1"/>
  <c r="I16" i="1"/>
  <c r="K16" i="1" s="1"/>
  <c r="H16" i="1"/>
  <c r="I19" i="1"/>
  <c r="K19" i="1" s="1"/>
  <c r="H19" i="1"/>
  <c r="I23" i="1"/>
  <c r="K23" i="1" s="1"/>
  <c r="H23" i="1"/>
  <c r="S9" i="2"/>
  <c r="U9" i="2" s="1"/>
  <c r="R9" i="2"/>
  <c r="R19" i="1"/>
  <c r="S19" i="1"/>
  <c r="U19" i="1" s="1"/>
  <c r="R24" i="1"/>
  <c r="S24" i="1"/>
  <c r="U24" i="1" s="1"/>
  <c r="S12" i="1"/>
  <c r="U12" i="1" s="1"/>
  <c r="R12" i="1"/>
  <c r="S16" i="1"/>
  <c r="U16" i="1" s="1"/>
  <c r="R16" i="1"/>
  <c r="R25" i="1"/>
  <c r="S25" i="1"/>
  <c r="U25" i="1" s="1"/>
  <c r="R18" i="2"/>
  <c r="S18" i="2"/>
  <c r="U18" i="2" s="1"/>
  <c r="S17" i="2"/>
  <c r="U17" i="2" s="1"/>
  <c r="R17" i="2"/>
  <c r="Q29" i="2"/>
  <c r="R10" i="2"/>
  <c r="S10" i="2"/>
  <c r="U10" i="2" s="1"/>
  <c r="G15" i="2"/>
  <c r="G25" i="2"/>
  <c r="G18" i="2"/>
  <c r="I9" i="6"/>
  <c r="K9" i="6" s="1"/>
  <c r="H9" i="6"/>
  <c r="G22" i="6"/>
  <c r="G23" i="6"/>
  <c r="I20" i="6"/>
  <c r="K20" i="6" s="1"/>
  <c r="H20" i="6"/>
  <c r="I16" i="6"/>
  <c r="K16" i="6" s="1"/>
  <c r="H16" i="6"/>
  <c r="G29" i="6"/>
  <c r="M28" i="5"/>
  <c r="M24" i="5"/>
  <c r="M20" i="5"/>
  <c r="M16" i="5"/>
  <c r="M12" i="5"/>
  <c r="M25" i="5"/>
  <c r="M21" i="5"/>
  <c r="M17" i="5"/>
  <c r="M13" i="5"/>
  <c r="M29" i="5"/>
  <c r="M26" i="5"/>
  <c r="M22" i="5"/>
  <c r="M18" i="5"/>
  <c r="M14" i="5"/>
  <c r="M10" i="5"/>
  <c r="M27" i="5"/>
  <c r="M23" i="5"/>
  <c r="M19" i="5"/>
  <c r="M15" i="5"/>
  <c r="M11" i="5"/>
  <c r="I9" i="1"/>
  <c r="K9" i="1" s="1"/>
  <c r="H9" i="1"/>
  <c r="S13" i="2"/>
  <c r="U13" i="2" s="1"/>
  <c r="R13" i="2"/>
  <c r="F26" i="5"/>
  <c r="F18" i="5"/>
  <c r="F10" i="5"/>
  <c r="G27" i="5" s="1"/>
  <c r="I13" i="1"/>
  <c r="K13" i="1" s="1"/>
  <c r="H13" i="1"/>
  <c r="I17" i="1"/>
  <c r="K17" i="1" s="1"/>
  <c r="H17" i="1"/>
  <c r="G20" i="1"/>
  <c r="G24" i="1"/>
  <c r="S9" i="1"/>
  <c r="U9" i="1" s="1"/>
  <c r="R9" i="1"/>
  <c r="Q23" i="1"/>
  <c r="Q28" i="1"/>
  <c r="Q13" i="1"/>
  <c r="Q17" i="1"/>
  <c r="Q16" i="2"/>
  <c r="Q26" i="2"/>
  <c r="Q22" i="2"/>
  <c r="Q12" i="2"/>
  <c r="Q19" i="2"/>
  <c r="G10" i="2"/>
  <c r="G21" i="2"/>
  <c r="G27" i="2"/>
  <c r="I13" i="6"/>
  <c r="K13" i="6" s="1"/>
  <c r="H13" i="6"/>
  <c r="H11" i="6"/>
  <c r="I11" i="6"/>
  <c r="K11" i="6" s="1"/>
  <c r="G27" i="6"/>
  <c r="H17" i="6"/>
  <c r="I17" i="6"/>
  <c r="K17" i="6" s="1"/>
  <c r="H27" i="5" l="1"/>
  <c r="I27" i="5"/>
  <c r="K27" i="5" s="1"/>
  <c r="S19" i="2"/>
  <c r="U19" i="2" s="1"/>
  <c r="R19" i="2"/>
  <c r="H27" i="2"/>
  <c r="I27" i="2"/>
  <c r="K27" i="2" s="1"/>
  <c r="S17" i="1"/>
  <c r="U17" i="1" s="1"/>
  <c r="R17" i="1"/>
  <c r="H17" i="2"/>
  <c r="I17" i="2"/>
  <c r="K17" i="2" s="1"/>
  <c r="R24" i="2"/>
  <c r="S24" i="2"/>
  <c r="U24" i="2" s="1"/>
  <c r="I23" i="2"/>
  <c r="K23" i="2" s="1"/>
  <c r="H23" i="2"/>
  <c r="S27" i="2"/>
  <c r="U27" i="2" s="1"/>
  <c r="R27" i="2"/>
  <c r="S10" i="1"/>
  <c r="U10" i="1" s="1"/>
  <c r="R10" i="1"/>
  <c r="I25" i="1"/>
  <c r="K25" i="1" s="1"/>
  <c r="H25" i="1"/>
  <c r="G14" i="5"/>
  <c r="G13" i="5"/>
  <c r="H9" i="5"/>
  <c r="I9" i="5"/>
  <c r="K9" i="5" s="1"/>
  <c r="G24" i="5"/>
  <c r="G15" i="5"/>
  <c r="R12" i="2"/>
  <c r="S12" i="2"/>
  <c r="U12" i="2" s="1"/>
  <c r="H23" i="6"/>
  <c r="I23" i="6"/>
  <c r="K23" i="6" s="1"/>
  <c r="H18" i="2"/>
  <c r="I18" i="2"/>
  <c r="K18" i="2" s="1"/>
  <c r="I25" i="2"/>
  <c r="K25" i="2" s="1"/>
  <c r="H25" i="2"/>
  <c r="I16" i="2"/>
  <c r="K16" i="2" s="1"/>
  <c r="H16" i="2"/>
  <c r="S28" i="2"/>
  <c r="U28" i="2" s="1"/>
  <c r="R28" i="2"/>
  <c r="I25" i="6"/>
  <c r="K25" i="6" s="1"/>
  <c r="H25" i="6"/>
  <c r="I19" i="2"/>
  <c r="K19" i="2" s="1"/>
  <c r="H19" i="2"/>
  <c r="R14" i="2"/>
  <c r="S14" i="2"/>
  <c r="U14" i="2" s="1"/>
  <c r="R27" i="1"/>
  <c r="S27" i="1"/>
  <c r="U27" i="1" s="1"/>
  <c r="G18" i="5"/>
  <c r="G17" i="5"/>
  <c r="G12" i="5"/>
  <c r="G28" i="5"/>
  <c r="G19" i="5"/>
  <c r="I27" i="6"/>
  <c r="K27" i="6" s="1"/>
  <c r="H27" i="6"/>
  <c r="R23" i="1"/>
  <c r="S23" i="1"/>
  <c r="U23" i="1" s="1"/>
  <c r="H21" i="2"/>
  <c r="I21" i="2"/>
  <c r="K21" i="2" s="1"/>
  <c r="R22" i="2"/>
  <c r="S22" i="2"/>
  <c r="U22" i="2" s="1"/>
  <c r="S13" i="1"/>
  <c r="U13" i="1" s="1"/>
  <c r="R13" i="1"/>
  <c r="H22" i="6"/>
  <c r="I22" i="6"/>
  <c r="K22" i="6" s="1"/>
  <c r="S29" i="2"/>
  <c r="U29" i="2" s="1"/>
  <c r="R29" i="2"/>
  <c r="H10" i="2"/>
  <c r="I10" i="2"/>
  <c r="K10" i="2" s="1"/>
  <c r="S26" i="2"/>
  <c r="U26" i="2" s="1"/>
  <c r="R26" i="2"/>
  <c r="R28" i="1"/>
  <c r="S28" i="1"/>
  <c r="U28" i="1" s="1"/>
  <c r="I24" i="1"/>
  <c r="K24" i="1" s="1"/>
  <c r="H24" i="1"/>
  <c r="I15" i="2"/>
  <c r="K15" i="2" s="1"/>
  <c r="H15" i="2"/>
  <c r="H12" i="2"/>
  <c r="I12" i="2"/>
  <c r="K12" i="2" s="1"/>
  <c r="I20" i="2"/>
  <c r="K20" i="2" s="1"/>
  <c r="H20" i="2"/>
  <c r="H24" i="6"/>
  <c r="I24" i="6"/>
  <c r="K24" i="6" s="1"/>
  <c r="R21" i="2"/>
  <c r="S21" i="2"/>
  <c r="U21" i="2" s="1"/>
  <c r="S18" i="1"/>
  <c r="U18" i="1" s="1"/>
  <c r="R18" i="1"/>
  <c r="R22" i="1"/>
  <c r="S22" i="1"/>
  <c r="U22" i="1" s="1"/>
  <c r="G22" i="5"/>
  <c r="G21" i="5"/>
  <c r="G16" i="5"/>
  <c r="G29" i="5"/>
  <c r="G23" i="5"/>
  <c r="R16" i="2"/>
  <c r="S16" i="2"/>
  <c r="U16" i="2" s="1"/>
  <c r="I20" i="1"/>
  <c r="K20" i="1" s="1"/>
  <c r="H20" i="1"/>
  <c r="H29" i="6"/>
  <c r="I29" i="6"/>
  <c r="K29" i="6" s="1"/>
  <c r="H13" i="2"/>
  <c r="I13" i="2"/>
  <c r="K13" i="2" s="1"/>
  <c r="H11" i="2"/>
  <c r="I11" i="2"/>
  <c r="K11" i="2" s="1"/>
  <c r="H26" i="2"/>
  <c r="I26" i="2"/>
  <c r="K26" i="2" s="1"/>
  <c r="R23" i="2"/>
  <c r="S23" i="2"/>
  <c r="U23" i="2" s="1"/>
  <c r="S14" i="1"/>
  <c r="U14" i="1" s="1"/>
  <c r="R14" i="1"/>
  <c r="I29" i="1"/>
  <c r="K29" i="1" s="1"/>
  <c r="H29" i="1"/>
  <c r="G10" i="5"/>
  <c r="G26" i="5"/>
  <c r="G25" i="5"/>
  <c r="G20" i="5"/>
  <c r="G11" i="5"/>
  <c r="I22" i="5" l="1"/>
  <c r="K22" i="5" s="1"/>
  <c r="H22" i="5"/>
  <c r="H17" i="5"/>
  <c r="I17" i="5"/>
  <c r="K17" i="5" s="1"/>
  <c r="I26" i="5"/>
  <c r="K26" i="5" s="1"/>
  <c r="H26" i="5"/>
  <c r="I10" i="5"/>
  <c r="K10" i="5" s="1"/>
  <c r="H10" i="5"/>
  <c r="H19" i="5"/>
  <c r="I19" i="5"/>
  <c r="K19" i="5" s="1"/>
  <c r="I18" i="5"/>
  <c r="K18" i="5" s="1"/>
  <c r="H18" i="5"/>
  <c r="H23" i="5"/>
  <c r="I23" i="5"/>
  <c r="K23" i="5" s="1"/>
  <c r="H20" i="5"/>
  <c r="I20" i="5"/>
  <c r="K20" i="5" s="1"/>
  <c r="H28" i="5"/>
  <c r="I28" i="5"/>
  <c r="K28" i="5" s="1"/>
  <c r="H15" i="5"/>
  <c r="I15" i="5"/>
  <c r="K15" i="5" s="1"/>
  <c r="H13" i="5"/>
  <c r="I13" i="5"/>
  <c r="K13" i="5" s="1"/>
  <c r="H11" i="5"/>
  <c r="I11" i="5"/>
  <c r="K11" i="5" s="1"/>
  <c r="I29" i="5"/>
  <c r="K29" i="5" s="1"/>
  <c r="H29" i="5"/>
  <c r="H16" i="5"/>
  <c r="I16" i="5"/>
  <c r="K16" i="5" s="1"/>
  <c r="H25" i="5"/>
  <c r="I25" i="5"/>
  <c r="K25" i="5" s="1"/>
  <c r="H21" i="5"/>
  <c r="I21" i="5"/>
  <c r="K21" i="5" s="1"/>
  <c r="H12" i="5"/>
  <c r="I12" i="5"/>
  <c r="K12" i="5" s="1"/>
  <c r="H24" i="5"/>
  <c r="I24" i="5"/>
  <c r="K24" i="5" s="1"/>
  <c r="I14" i="5"/>
  <c r="K14" i="5" s="1"/>
  <c r="H14" i="5"/>
</calcChain>
</file>

<file path=xl/sharedStrings.xml><?xml version="1.0" encoding="utf-8"?>
<sst xmlns="http://schemas.openxmlformats.org/spreadsheetml/2006/main" count="105" uniqueCount="41">
  <si>
    <t>K</t>
    <phoneticPr fontId="4" type="noConversion"/>
  </si>
  <si>
    <t>T</t>
    <phoneticPr fontId="4" type="noConversion"/>
  </si>
  <si>
    <t>t</t>
    <phoneticPr fontId="4" type="noConversion"/>
  </si>
  <si>
    <t>S</t>
    <phoneticPr fontId="4" type="noConversion"/>
  </si>
  <si>
    <t>Delta</t>
    <phoneticPr fontId="4" type="noConversion"/>
  </si>
  <si>
    <t>Hedge</t>
    <phoneticPr fontId="4" type="noConversion"/>
  </si>
  <si>
    <t>Action</t>
    <phoneticPr fontId="4" type="noConversion"/>
  </si>
  <si>
    <t>r</t>
    <phoneticPr fontId="4" type="noConversion"/>
  </si>
  <si>
    <t>sigma</t>
    <phoneticPr fontId="4" type="noConversion"/>
  </si>
  <si>
    <t>Exposure</t>
    <phoneticPr fontId="4" type="noConversion"/>
  </si>
  <si>
    <t>Option Value</t>
    <phoneticPr fontId="4" type="noConversion"/>
  </si>
  <si>
    <t>Trading PnL</t>
    <phoneticPr fontId="4" type="noConversion"/>
  </si>
  <si>
    <t>Total PnL</t>
    <phoneticPr fontId="4" type="noConversion"/>
  </si>
  <si>
    <t>Total PnL</t>
    <phoneticPr fontId="4" type="noConversion"/>
  </si>
  <si>
    <t>Infrequent but Perfectly Timed Hedging</t>
    <phoneticPr fontId="4" type="noConversion"/>
  </si>
  <si>
    <t>Frequent Hedging</t>
    <phoneticPr fontId="4" type="noConversion"/>
  </si>
  <si>
    <t>Gamma</t>
  </si>
  <si>
    <t>http://math.uchicago.edu/~sbossu/VarSwaps.pdf</t>
  </si>
  <si>
    <t>http://www.ederman.com/new/docs/gs-volatility_swaps.pdf</t>
  </si>
  <si>
    <t>More Than You Wanted to Know about Variance Swaps (Goldman/Derman)</t>
  </si>
  <si>
    <t>Just What You Need to Know about Variance Swaps (JP Morgan)</t>
  </si>
  <si>
    <t>Black Scholes Formula:</t>
  </si>
  <si>
    <t>Greeks:</t>
  </si>
  <si>
    <t>Delta</t>
  </si>
  <si>
    <t>Theta</t>
  </si>
  <si>
    <t>Merton (dynamic) Replication:</t>
  </si>
  <si>
    <t>Continuous delta hedging produces a profit equal to the price of an option with the realized volatility of its tenure.</t>
  </si>
  <si>
    <t>If an option is priced cheaply (low implied vol w.r.t. expected realized vol), buy it, delta hedge, pocket difference.</t>
  </si>
  <si>
    <t>If an option is priced rich (high implied vol w.r.t. expected realized vol), sell it, delta hedge, pocket difference.</t>
  </si>
  <si>
    <t>Hedging profit:</t>
  </si>
  <si>
    <t>The Pricing of Options and Corporate Liabilities (Black, Scholes)</t>
  </si>
  <si>
    <t>http://efinance.org.cn/cn/FEshuo/The%20Pricing%20of%20Options%20and%20Corporate%20Liabilities.pdf</t>
  </si>
  <si>
    <t>http://www.signallake.com/innovation/MertonBJEMS73.pdf</t>
  </si>
  <si>
    <t>realized vol</t>
  </si>
  <si>
    <t>Cum Exp PnL</t>
  </si>
  <si>
    <t>Exp PnL</t>
  </si>
  <si>
    <t>References</t>
  </si>
  <si>
    <t>Theory of Rational Option Pricing (Merton)</t>
  </si>
  <si>
    <t>Dynamic Hedging and Profitability</t>
  </si>
  <si>
    <t>Theta</t>
    <phoneticPr fontId="4" type="noConversion"/>
  </si>
  <si>
    <t>Returns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</si>
</sst>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u/>
      <sz val="10"/>
      <name val="Verdana"/>
      <family val="2"/>
    </font>
    <font>
      <b/>
      <sz val="16"/>
      <name val="Verdan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12" xfId="0" applyBorder="1"/>
    <xf numFmtId="2" fontId="0" fillId="0" borderId="12" xfId="0" applyNumberFormat="1" applyBorder="1"/>
    <xf numFmtId="164" fontId="0" fillId="0" borderId="12" xfId="0" applyNumberForma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3" fillId="0" borderId="5" xfId="0" applyFont="1" applyBorder="1"/>
    <xf numFmtId="2" fontId="3" fillId="0" borderId="7" xfId="0" applyNumberFormat="1" applyFont="1" applyBorder="1"/>
    <xf numFmtId="2" fontId="3" fillId="0" borderId="14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12" xfId="0" applyFont="1" applyBorder="1"/>
    <xf numFmtId="0" fontId="5" fillId="0" borderId="0" xfId="0" applyFont="1"/>
    <xf numFmtId="0" fontId="6" fillId="0" borderId="0" xfId="1"/>
    <xf numFmtId="0" fontId="7" fillId="0" borderId="0" xfId="0" applyFont="1"/>
    <xf numFmtId="0" fontId="3" fillId="0" borderId="0" xfId="0" applyFont="1"/>
    <xf numFmtId="0" fontId="0" fillId="0" borderId="0" xfId="0" applyFont="1" applyFill="1" applyBorder="1"/>
    <xf numFmtId="0" fontId="5" fillId="0" borderId="0" xfId="0" applyFont="1" applyAlignment="1">
      <alignment horizontal="right"/>
    </xf>
    <xf numFmtId="0" fontId="5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2" fillId="0" borderId="12" xfId="0" applyFont="1" applyBorder="1"/>
    <xf numFmtId="0" fontId="3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Hedging Frequency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Frequent</c:v>
          </c:tx>
          <c:spPr>
            <a:ln w="19050"/>
          </c:spPr>
          <c:marker>
            <c:symbol val="none"/>
          </c:marker>
          <c:cat>
            <c:strRef>
              <c:f>Frequency!$B$8:$B$29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</c:strCache>
            </c:strRef>
          </c:cat>
          <c:val>
            <c:numRef>
              <c:f>Frequency!$K$9:$K$29</c:f>
              <c:numCache>
                <c:formatCode>0.00</c:formatCode>
                <c:ptCount val="21"/>
                <c:pt idx="0">
                  <c:v>0</c:v>
                </c:pt>
                <c:pt idx="1">
                  <c:v>56.031476673014595</c:v>
                </c:pt>
                <c:pt idx="2">
                  <c:v>98.894637582914811</c:v>
                </c:pt>
                <c:pt idx="3">
                  <c:v>129.71878045714016</c:v>
                </c:pt>
                <c:pt idx="4">
                  <c:v>150.86671768270867</c:v>
                </c:pt>
                <c:pt idx="5">
                  <c:v>164.85911095684173</c:v>
                </c:pt>
                <c:pt idx="6">
                  <c:v>175.59775797436691</c:v>
                </c:pt>
                <c:pt idx="7">
                  <c:v>192.26741202415337</c:v>
                </c:pt>
                <c:pt idx="8">
                  <c:v>217.39870175132478</c:v>
                </c:pt>
                <c:pt idx="9">
                  <c:v>253.7772908233062</c:v>
                </c:pt>
                <c:pt idx="10">
                  <c:v>303.55274519649629</c:v>
                </c:pt>
                <c:pt idx="11">
                  <c:v>366.53544230593752</c:v>
                </c:pt>
                <c:pt idx="12">
                  <c:v>437.96567487506286</c:v>
                </c:pt>
                <c:pt idx="13">
                  <c:v>507.31207784026014</c:v>
                </c:pt>
                <c:pt idx="14">
                  <c:v>561.04403929318755</c:v>
                </c:pt>
                <c:pt idx="15">
                  <c:v>590.77104673151825</c:v>
                </c:pt>
                <c:pt idx="16">
                  <c:v>613.88230201892884</c:v>
                </c:pt>
                <c:pt idx="17">
                  <c:v>663.05532151017928</c:v>
                </c:pt>
                <c:pt idx="18">
                  <c:v>735.02028599003938</c:v>
                </c:pt>
                <c:pt idx="19">
                  <c:v>816.87458289899519</c:v>
                </c:pt>
                <c:pt idx="20">
                  <c:v>894.93572792113378</c:v>
                </c:pt>
              </c:numCache>
            </c:numRef>
          </c:val>
          <c:smooth val="0"/>
        </c:ser>
        <c:ser>
          <c:idx val="1"/>
          <c:order val="1"/>
          <c:tx>
            <c:v>Rare</c:v>
          </c:tx>
          <c:spPr>
            <a:ln w="19050"/>
          </c:spPr>
          <c:marker>
            <c:symbol val="none"/>
          </c:marker>
          <c:cat>
            <c:strRef>
              <c:f>Frequency!$B$8:$B$29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</c:strCache>
            </c:strRef>
          </c:cat>
          <c:val>
            <c:numRef>
              <c:f>Frequency!$U$9:$U$29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1037.6997194645639</c:v>
                </c:pt>
                <c:pt idx="6">
                  <c:v>1037.6997194645639</c:v>
                </c:pt>
                <c:pt idx="7">
                  <c:v>1037.6997194645639</c:v>
                </c:pt>
                <c:pt idx="8">
                  <c:v>1037.6997194645639</c:v>
                </c:pt>
                <c:pt idx="9">
                  <c:v>1037.6997194645639</c:v>
                </c:pt>
                <c:pt idx="10">
                  <c:v>1618.1925603816828</c:v>
                </c:pt>
                <c:pt idx="11">
                  <c:v>1618.1925603816828</c:v>
                </c:pt>
                <c:pt idx="12">
                  <c:v>1618.1925603816828</c:v>
                </c:pt>
                <c:pt idx="13">
                  <c:v>1618.1925603816828</c:v>
                </c:pt>
                <c:pt idx="14">
                  <c:v>1618.1925603816828</c:v>
                </c:pt>
                <c:pt idx="15">
                  <c:v>3338.8250690599825</c:v>
                </c:pt>
                <c:pt idx="16">
                  <c:v>3338.8250690599825</c:v>
                </c:pt>
                <c:pt idx="17">
                  <c:v>3338.8250690599825</c:v>
                </c:pt>
                <c:pt idx="18">
                  <c:v>3338.8250690599825</c:v>
                </c:pt>
                <c:pt idx="19">
                  <c:v>3338.8250690599825</c:v>
                </c:pt>
                <c:pt idx="20">
                  <c:v>4604.6981116718953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09920"/>
        <c:axId val="230470016"/>
      </c:lineChart>
      <c:lineChart>
        <c:grouping val="standard"/>
        <c:varyColors val="0"/>
        <c:ser>
          <c:idx val="2"/>
          <c:order val="2"/>
          <c:tx>
            <c:v>Share Price</c:v>
          </c:tx>
          <c:spPr>
            <a:ln w="19050">
              <a:prstDash val="sysDot"/>
            </a:ln>
          </c:spPr>
          <c:marker>
            <c:symbol val="none"/>
          </c:marker>
          <c:val>
            <c:numRef>
              <c:f>Frequency!$C$9:$C$29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73088"/>
        <c:axId val="230471552"/>
      </c:lineChart>
      <c:catAx>
        <c:axId val="3138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70016"/>
        <c:crosses val="autoZero"/>
        <c:auto val="1"/>
        <c:lblAlgn val="ctr"/>
        <c:lblOffset val="100"/>
        <c:noMultiLvlLbl val="0"/>
      </c:catAx>
      <c:valAx>
        <c:axId val="230470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3809920"/>
        <c:crosses val="autoZero"/>
        <c:crossBetween val="between"/>
      </c:valAx>
      <c:valAx>
        <c:axId val="23047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0473088"/>
        <c:crosses val="max"/>
        <c:crossBetween val="between"/>
      </c:valAx>
      <c:catAx>
        <c:axId val="23047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304715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Hedging Frequency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Frequent</c:v>
          </c:tx>
          <c:marker>
            <c:symbol val="none"/>
          </c:marker>
          <c:cat>
            <c:strRef>
              <c:f>'Expected Profit'!$B$8:$B$29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</c:strCache>
            </c:strRef>
          </c:cat>
          <c:val>
            <c:numRef>
              <c:f>'Expected Profit'!$K$9:$K$29</c:f>
              <c:numCache>
                <c:formatCode>0.00</c:formatCode>
                <c:ptCount val="21"/>
                <c:pt idx="0">
                  <c:v>0</c:v>
                </c:pt>
                <c:pt idx="1">
                  <c:v>-6.0729974399123421E-2</c:v>
                </c:pt>
                <c:pt idx="2">
                  <c:v>-8.0479638808583331E-2</c:v>
                </c:pt>
                <c:pt idx="3">
                  <c:v>-6.1230792788592225E-2</c:v>
                </c:pt>
                <c:pt idx="4">
                  <c:v>-5.3767187525863847E-3</c:v>
                </c:pt>
                <c:pt idx="5">
                  <c:v>8.4342635687335132E-2</c:v>
                </c:pt>
                <c:pt idx="6">
                  <c:v>-0.37452828213395151</c:v>
                </c:pt>
                <c:pt idx="7">
                  <c:v>-0.88790630895505274</c:v>
                </c:pt>
                <c:pt idx="8">
                  <c:v>-1.4577904462676088</c:v>
                </c:pt>
                <c:pt idx="9">
                  <c:v>-2.0856120800253848</c:v>
                </c:pt>
                <c:pt idx="10">
                  <c:v>-2.7721285595935115</c:v>
                </c:pt>
                <c:pt idx="11">
                  <c:v>-3.5173196127052506</c:v>
                </c:pt>
                <c:pt idx="12">
                  <c:v>-4.3202908371706599</c:v>
                </c:pt>
                <c:pt idx="13">
                  <c:v>-5.1791890205259961</c:v>
                </c:pt>
                <c:pt idx="14">
                  <c:v>-6.0911344058876011</c:v>
                </c:pt>
                <c:pt idx="15">
                  <c:v>-7.0521751880880856</c:v>
                </c:pt>
                <c:pt idx="16">
                  <c:v>-5.9537020582998821</c:v>
                </c:pt>
                <c:pt idx="17">
                  <c:v>-4.8140295563410973</c:v>
                </c:pt>
                <c:pt idx="18">
                  <c:v>-3.6390669231253696</c:v>
                </c:pt>
                <c:pt idx="19">
                  <c:v>-2.4351817651788679</c:v>
                </c:pt>
                <c:pt idx="20">
                  <c:v>-1.209092138545202</c:v>
                </c:pt>
              </c:numCache>
            </c:numRef>
          </c:val>
          <c:smooth val="0"/>
        </c:ser>
        <c:ser>
          <c:idx val="1"/>
          <c:order val="1"/>
          <c:tx>
            <c:v>Rare</c:v>
          </c:tx>
          <c:marker>
            <c:symbol val="none"/>
          </c:marker>
          <c:cat>
            <c:strRef>
              <c:f>'Expected Profit'!$B$8:$B$29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</c:strCache>
            </c:strRef>
          </c:cat>
          <c:val>
            <c:numRef>
              <c:f>'Expected Profit'!#REF!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08160"/>
        <c:axId val="240909696"/>
      </c:lineChart>
      <c:lineChart>
        <c:grouping val="standard"/>
        <c:varyColors val="0"/>
        <c:ser>
          <c:idx val="2"/>
          <c:order val="2"/>
          <c:tx>
            <c:v>Share Price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'Expected Profit'!$C$9:$C$29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104</c:v>
                </c:pt>
                <c:pt idx="7">
                  <c:v>103</c:v>
                </c:pt>
                <c:pt idx="8">
                  <c:v>102</c:v>
                </c:pt>
                <c:pt idx="9">
                  <c:v>101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17120"/>
        <c:axId val="240915584"/>
      </c:lineChart>
      <c:catAx>
        <c:axId val="2409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09696"/>
        <c:crosses val="autoZero"/>
        <c:auto val="1"/>
        <c:lblAlgn val="ctr"/>
        <c:lblOffset val="100"/>
        <c:noMultiLvlLbl val="0"/>
      </c:catAx>
      <c:valAx>
        <c:axId val="240909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0908160"/>
        <c:crosses val="autoZero"/>
        <c:crossBetween val="between"/>
      </c:valAx>
      <c:valAx>
        <c:axId val="24091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0917120"/>
        <c:crosses val="max"/>
        <c:crossBetween val="between"/>
      </c:valAx>
      <c:catAx>
        <c:axId val="24091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40915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PnL Breakdown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'Expected Profit'!$M$8</c:f>
              <c:strCache>
                <c:ptCount val="1"/>
                <c:pt idx="0">
                  <c:v>Cum Exp PnL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'Expected Profit'!$B$9:$B$29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'Expected Profit'!$M$9:$M$29</c:f>
              <c:numCache>
                <c:formatCode>General</c:formatCode>
                <c:ptCount val="21"/>
                <c:pt idx="0">
                  <c:v>0</c:v>
                </c:pt>
                <c:pt idx="1">
                  <c:v>-0.1986386121203953</c:v>
                </c:pt>
                <c:pt idx="2">
                  <c:v>-0.44599386051215673</c:v>
                </c:pt>
                <c:pt idx="3">
                  <c:v>-0.73849208078400252</c:v>
                </c:pt>
                <c:pt idx="4">
                  <c:v>-1.0720847990764333</c:v>
                </c:pt>
                <c:pt idx="5">
                  <c:v>-1.4423423792989127</c:v>
                </c:pt>
                <c:pt idx="6">
                  <c:v>-1.7743898267519018</c:v>
                </c:pt>
                <c:pt idx="7">
                  <c:v>-2.0642804123695071</c:v>
                </c:pt>
                <c:pt idx="8">
                  <c:v>-2.3084229887292067</c:v>
                </c:pt>
                <c:pt idx="9">
                  <c:v>-2.5036859662357736</c:v>
                </c:pt>
                <c:pt idx="10">
                  <c:v>-2.6475004815060279</c:v>
                </c:pt>
                <c:pt idx="11">
                  <c:v>-2.7379591289760019</c:v>
                </c:pt>
                <c:pt idx="12">
                  <c:v>-2.773906237340158</c:v>
                </c:pt>
                <c:pt idx="13">
                  <c:v>-2.7550154139731378</c:v>
                </c:pt>
                <c:pt idx="14">
                  <c:v>-2.6818499952897743</c:v>
                </c:pt>
                <c:pt idx="15">
                  <c:v>-2.5559021691959249</c:v>
                </c:pt>
                <c:pt idx="16">
                  <c:v>-2.483101535772557</c:v>
                </c:pt>
                <c:pt idx="17">
                  <c:v>-2.4643909678243086</c:v>
                </c:pt>
                <c:pt idx="18">
                  <c:v>-2.4998400655430242</c:v>
                </c:pt>
                <c:pt idx="19">
                  <c:v>-2.5886617161194283</c:v>
                </c:pt>
                <c:pt idx="20">
                  <c:v>-2.7292497594876375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'Expected Profit'!$K$8</c:f>
              <c:strCache>
                <c:ptCount val="1"/>
                <c:pt idx="0">
                  <c:v>Total PnL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'Expected Profit'!$B$9:$B$29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'Expected Profit'!$K$9:$K$29</c:f>
              <c:numCache>
                <c:formatCode>0.00</c:formatCode>
                <c:ptCount val="21"/>
                <c:pt idx="0">
                  <c:v>0</c:v>
                </c:pt>
                <c:pt idx="1">
                  <c:v>-6.0729974399123421E-2</c:v>
                </c:pt>
                <c:pt idx="2">
                  <c:v>-8.0479638808583331E-2</c:v>
                </c:pt>
                <c:pt idx="3">
                  <c:v>-6.1230792788592225E-2</c:v>
                </c:pt>
                <c:pt idx="4">
                  <c:v>-5.3767187525863847E-3</c:v>
                </c:pt>
                <c:pt idx="5">
                  <c:v>8.4342635687335132E-2</c:v>
                </c:pt>
                <c:pt idx="6">
                  <c:v>-0.37452828213395151</c:v>
                </c:pt>
                <c:pt idx="7">
                  <c:v>-0.88790630895505274</c:v>
                </c:pt>
                <c:pt idx="8">
                  <c:v>-1.4577904462676088</c:v>
                </c:pt>
                <c:pt idx="9">
                  <c:v>-2.0856120800253848</c:v>
                </c:pt>
                <c:pt idx="10">
                  <c:v>-2.7721285595935115</c:v>
                </c:pt>
                <c:pt idx="11">
                  <c:v>-3.5173196127052506</c:v>
                </c:pt>
                <c:pt idx="12">
                  <c:v>-4.3202908371706599</c:v>
                </c:pt>
                <c:pt idx="13">
                  <c:v>-5.1791890205259961</c:v>
                </c:pt>
                <c:pt idx="14">
                  <c:v>-6.0911344058876011</c:v>
                </c:pt>
                <c:pt idx="15">
                  <c:v>-7.0521751880880856</c:v>
                </c:pt>
                <c:pt idx="16">
                  <c:v>-5.9537020582998821</c:v>
                </c:pt>
                <c:pt idx="17">
                  <c:v>-4.8140295563410973</c:v>
                </c:pt>
                <c:pt idx="18">
                  <c:v>-3.6390669231253696</c:v>
                </c:pt>
                <c:pt idx="19">
                  <c:v>-2.4351817651788679</c:v>
                </c:pt>
                <c:pt idx="20">
                  <c:v>-1.209092138545202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68832"/>
        <c:axId val="240970368"/>
      </c:lineChart>
      <c:catAx>
        <c:axId val="2409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970368"/>
        <c:crosses val="autoZero"/>
        <c:auto val="1"/>
        <c:lblAlgn val="ctr"/>
        <c:lblOffset val="100"/>
        <c:noMultiLvlLbl val="0"/>
      </c:catAx>
      <c:valAx>
        <c:axId val="2409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68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Greeks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'Expected Profit'!$C$8</c:f>
              <c:strCache>
                <c:ptCount val="1"/>
                <c:pt idx="0">
                  <c:v>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'Expected Profit'!$B$9:$B$29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'Expected Profit'!$C$9:$C$29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104</c:v>
                </c:pt>
                <c:pt idx="7">
                  <c:v>103</c:v>
                </c:pt>
                <c:pt idx="8">
                  <c:v>102</c:v>
                </c:pt>
                <c:pt idx="9">
                  <c:v>101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'Expected Profit'!$D$8</c:f>
              <c:strCache>
                <c:ptCount val="1"/>
                <c:pt idx="0">
                  <c:v>Delta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'Expected Profit'!$B$9:$B$29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'Expected Profit'!$D$9:$D$29</c:f>
              <c:numCache>
                <c:formatCode>0.00</c:formatCode>
                <c:ptCount val="21"/>
                <c:pt idx="0">
                  <c:v>66.158956991742784</c:v>
                </c:pt>
                <c:pt idx="1">
                  <c:v>68.595789193557593</c:v>
                </c:pt>
                <c:pt idx="2">
                  <c:v>70.94266243803817</c:v>
                </c:pt>
                <c:pt idx="3">
                  <c:v>73.193422026947403</c:v>
                </c:pt>
                <c:pt idx="4">
                  <c:v>75.343076699006815</c:v>
                </c:pt>
                <c:pt idx="5">
                  <c:v>77.387786340810578</c:v>
                </c:pt>
                <c:pt idx="6">
                  <c:v>75.320723081565205</c:v>
                </c:pt>
                <c:pt idx="7">
                  <c:v>73.123938081581684</c:v>
                </c:pt>
                <c:pt idx="8">
                  <c:v>70.798325937717578</c:v>
                </c:pt>
                <c:pt idx="9">
                  <c:v>68.346332404775239</c:v>
                </c:pt>
                <c:pt idx="10">
                  <c:v>65.772109421771034</c:v>
                </c:pt>
                <c:pt idx="11">
                  <c:v>63.081651049002154</c:v>
                </c:pt>
                <c:pt idx="12">
                  <c:v>60.282902589556173</c:v>
                </c:pt>
                <c:pt idx="13">
                  <c:v>57.385834744632632</c:v>
                </c:pt>
                <c:pt idx="14">
                  <c:v>54.402474539229438</c:v>
                </c:pt>
                <c:pt idx="15">
                  <c:v>51.346885036085268</c:v>
                </c:pt>
                <c:pt idx="16">
                  <c:v>54.253905326962638</c:v>
                </c:pt>
                <c:pt idx="17">
                  <c:v>57.123341729426649</c:v>
                </c:pt>
                <c:pt idx="18">
                  <c:v>59.941402112390804</c:v>
                </c:pt>
                <c:pt idx="19">
                  <c:v>62.695262426539102</c:v>
                </c:pt>
                <c:pt idx="20">
                  <c:v>65.373211558236633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20288"/>
        <c:axId val="241042560"/>
      </c:lineChart>
      <c:lineChart>
        <c:grouping val="standard"/>
        <c:varyColors val="0"/>
        <c:ser>
          <c:idx val="2"/>
          <c:order val="2"/>
          <c:tx>
            <c:strRef>
              <c:f>'Expected Profit'!$E$8</c:f>
              <c:strCache>
                <c:ptCount val="1"/>
                <c:pt idx="0">
                  <c:v>Gamma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'Expected Profit'!$B$9:$B$29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'Expected Profit'!$E$9:$E$29</c:f>
              <c:numCache>
                <c:formatCode>0.00</c:formatCode>
                <c:ptCount val="21"/>
                <c:pt idx="0">
                  <c:v>531.35898803864143</c:v>
                </c:pt>
                <c:pt idx="1">
                  <c:v>519.26346224181054</c:v>
                </c:pt>
                <c:pt idx="2">
                  <c:v>505.16565902117844</c:v>
                </c:pt>
                <c:pt idx="3">
                  <c:v>489.27503693218023</c:v>
                </c:pt>
                <c:pt idx="4">
                  <c:v>471.81403614373795</c:v>
                </c:pt>
                <c:pt idx="5">
                  <c:v>453.01351153486127</c:v>
                </c:pt>
                <c:pt idx="6">
                  <c:v>469.6284954178393</c:v>
                </c:pt>
                <c:pt idx="7">
                  <c:v>484.9131281979158</c:v>
                </c:pt>
                <c:pt idx="8">
                  <c:v>498.60452237723575</c:v>
                </c:pt>
                <c:pt idx="9">
                  <c:v>510.43917728468068</c:v>
                </c:pt>
                <c:pt idx="10">
                  <c:v>520.1589153984977</c:v>
                </c:pt>
                <c:pt idx="11">
                  <c:v>527.5175224357157</c:v>
                </c:pt>
                <c:pt idx="12">
                  <c:v>532.28795959157674</c:v>
                </c:pt>
                <c:pt idx="13">
                  <c:v>534.26996484158894</c:v>
                </c:pt>
                <c:pt idx="14">
                  <c:v>533.29780774679</c:v>
                </c:pt>
                <c:pt idx="15">
                  <c:v>529.24791187526353</c:v>
                </c:pt>
                <c:pt idx="16">
                  <c:v>530.6389125616779</c:v>
                </c:pt>
                <c:pt idx="17">
                  <c:v>529.17198396597485</c:v>
                </c:pt>
                <c:pt idx="18">
                  <c:v>524.91365099270865</c:v>
                </c:pt>
                <c:pt idx="19">
                  <c:v>517.97123173067769</c:v>
                </c:pt>
                <c:pt idx="20">
                  <c:v>508.48917453835173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70464"/>
        <c:axId val="241044096"/>
      </c:lineChart>
      <c:catAx>
        <c:axId val="2410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42560"/>
        <c:crosses val="autoZero"/>
        <c:auto val="1"/>
        <c:lblAlgn val="ctr"/>
        <c:lblOffset val="100"/>
        <c:noMultiLvlLbl val="0"/>
      </c:catAx>
      <c:valAx>
        <c:axId val="2410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20288"/>
        <c:crosses val="autoZero"/>
        <c:crossBetween val="between"/>
      </c:valAx>
      <c:valAx>
        <c:axId val="2410440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41070464"/>
        <c:crosses val="max"/>
        <c:crossBetween val="between"/>
      </c:valAx>
      <c:catAx>
        <c:axId val="24107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0440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PnL Breakdown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Frequency!$I$8</c:f>
              <c:strCache>
                <c:ptCount val="1"/>
                <c:pt idx="0">
                  <c:v>Trading PnL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Frequency!$B$9:$B$29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Frequency!$I$9:$I$29</c:f>
              <c:numCache>
                <c:formatCode>General</c:formatCode>
                <c:ptCount val="21"/>
                <c:pt idx="0">
                  <c:v>0</c:v>
                </c:pt>
                <c:pt idx="1">
                  <c:v>-624.251727906013</c:v>
                </c:pt>
                <c:pt idx="2">
                  <c:v>-1361.3326397123292</c:v>
                </c:pt>
                <c:pt idx="3">
                  <c:v>-2184.0783502712438</c:v>
                </c:pt>
                <c:pt idx="4">
                  <c:v>-3068.1254676595854</c:v>
                </c:pt>
                <c:pt idx="5">
                  <c:v>-3994.0992480377845</c:v>
                </c:pt>
                <c:pt idx="6">
                  <c:v>-3040.4368692577682</c:v>
                </c:pt>
                <c:pt idx="7">
                  <c:v>-2113.8732459649218</c:v>
                </c:pt>
                <c:pt idx="8">
                  <c:v>-1228.6826045852977</c:v>
                </c:pt>
                <c:pt idx="9">
                  <c:v>-404.72858488736165</c:v>
                </c:pt>
                <c:pt idx="10">
                  <c:v>332.4134391848329</c:v>
                </c:pt>
                <c:pt idx="11">
                  <c:v>953.61897285959549</c:v>
                </c:pt>
                <c:pt idx="12">
                  <c:v>1432.3087793621785</c:v>
                </c:pt>
                <c:pt idx="13">
                  <c:v>1755.0081743796541</c:v>
                </c:pt>
                <c:pt idx="14">
                  <c:v>1932.9216206691217</c:v>
                </c:pt>
                <c:pt idx="15">
                  <c:v>2005.026900415367</c:v>
                </c:pt>
                <c:pt idx="16">
                  <c:v>1987.0643206000652</c:v>
                </c:pt>
                <c:pt idx="17">
                  <c:v>1916.4871256596034</c:v>
                </c:pt>
                <c:pt idx="18">
                  <c:v>1742.8792933142618</c:v>
                </c:pt>
                <c:pt idx="19">
                  <c:v>1426.4281738476166</c:v>
                </c:pt>
                <c:pt idx="20">
                  <c:v>953.50563991656145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Frequency!$J$8</c:f>
              <c:strCache>
                <c:ptCount val="1"/>
                <c:pt idx="0">
                  <c:v>Option Value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Frequency!$B$9:$B$29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Frequency!$J$9:$J$29</c:f>
              <c:numCache>
                <c:formatCode>0.00</c:formatCode>
                <c:ptCount val="21"/>
                <c:pt idx="0">
                  <c:v>1423.1254785985818</c:v>
                </c:pt>
                <c:pt idx="1">
                  <c:v>2103.4086831776094</c:v>
                </c:pt>
                <c:pt idx="2">
                  <c:v>2883.3527558938258</c:v>
                </c:pt>
                <c:pt idx="3">
                  <c:v>3736.9226093269658</c:v>
                </c:pt>
                <c:pt idx="4">
                  <c:v>4642.1176639408759</c:v>
                </c:pt>
                <c:pt idx="5">
                  <c:v>5582.083837593208</c:v>
                </c:pt>
                <c:pt idx="6">
                  <c:v>4639.1601058307169</c:v>
                </c:pt>
                <c:pt idx="7">
                  <c:v>3729.266136587657</c:v>
                </c:pt>
                <c:pt idx="8">
                  <c:v>2869.2067849352043</c:v>
                </c:pt>
                <c:pt idx="9">
                  <c:v>2081.6313543092497</c:v>
                </c:pt>
                <c:pt idx="10">
                  <c:v>1394.2647846102452</c:v>
                </c:pt>
                <c:pt idx="11">
                  <c:v>836.04194804492386</c:v>
                </c:pt>
                <c:pt idx="12">
                  <c:v>428.78237411146608</c:v>
                </c:pt>
                <c:pt idx="13">
                  <c:v>175.42938205918796</c:v>
                </c:pt>
                <c:pt idx="14">
                  <c:v>51.247897222647644</c:v>
                </c:pt>
                <c:pt idx="15">
                  <c:v>8.8696249147330199</c:v>
                </c:pt>
                <c:pt idx="16">
                  <c:v>49.943460017445453</c:v>
                </c:pt>
                <c:pt idx="17">
                  <c:v>169.69367444915787</c:v>
                </c:pt>
                <c:pt idx="18">
                  <c:v>415.26647127435933</c:v>
                </c:pt>
                <c:pt idx="19">
                  <c:v>813.57188764996022</c:v>
                </c:pt>
                <c:pt idx="20">
                  <c:v>1364.5555666031541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Frequency!$K$8</c:f>
              <c:strCache>
                <c:ptCount val="1"/>
                <c:pt idx="0">
                  <c:v>Total PnL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Frequency!$B$9:$B$29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Frequency!$K$9:$K$29</c:f>
              <c:numCache>
                <c:formatCode>0.00</c:formatCode>
                <c:ptCount val="21"/>
                <c:pt idx="0">
                  <c:v>0</c:v>
                </c:pt>
                <c:pt idx="1">
                  <c:v>56.031476673014595</c:v>
                </c:pt>
                <c:pt idx="2">
                  <c:v>98.894637582914811</c:v>
                </c:pt>
                <c:pt idx="3">
                  <c:v>129.71878045714016</c:v>
                </c:pt>
                <c:pt idx="4">
                  <c:v>150.86671768270867</c:v>
                </c:pt>
                <c:pt idx="5">
                  <c:v>164.85911095684173</c:v>
                </c:pt>
                <c:pt idx="6">
                  <c:v>175.59775797436691</c:v>
                </c:pt>
                <c:pt idx="7">
                  <c:v>192.26741202415337</c:v>
                </c:pt>
                <c:pt idx="8">
                  <c:v>217.39870175132478</c:v>
                </c:pt>
                <c:pt idx="9">
                  <c:v>253.7772908233062</c:v>
                </c:pt>
                <c:pt idx="10">
                  <c:v>303.55274519649629</c:v>
                </c:pt>
                <c:pt idx="11">
                  <c:v>366.53544230593752</c:v>
                </c:pt>
                <c:pt idx="12">
                  <c:v>437.96567487506286</c:v>
                </c:pt>
                <c:pt idx="13">
                  <c:v>507.31207784026014</c:v>
                </c:pt>
                <c:pt idx="14">
                  <c:v>561.04403929318755</c:v>
                </c:pt>
                <c:pt idx="15">
                  <c:v>590.77104673151825</c:v>
                </c:pt>
                <c:pt idx="16">
                  <c:v>613.88230201892884</c:v>
                </c:pt>
                <c:pt idx="17">
                  <c:v>663.05532151017928</c:v>
                </c:pt>
                <c:pt idx="18">
                  <c:v>735.02028599003938</c:v>
                </c:pt>
                <c:pt idx="19">
                  <c:v>816.87458289899519</c:v>
                </c:pt>
                <c:pt idx="20">
                  <c:v>894.93572792113378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84640"/>
        <c:axId val="233215104"/>
      </c:lineChart>
      <c:catAx>
        <c:axId val="2331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215104"/>
        <c:crosses val="autoZero"/>
        <c:auto val="1"/>
        <c:lblAlgn val="ctr"/>
        <c:lblOffset val="100"/>
        <c:noMultiLvlLbl val="0"/>
      </c:catAx>
      <c:valAx>
        <c:axId val="2332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84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Greeks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Frequency!$C$8</c:f>
              <c:strCache>
                <c:ptCount val="1"/>
                <c:pt idx="0">
                  <c:v>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Frequency!$B$9:$B$29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Frequency!$C$9:$C$29</c:f>
              <c:numCache>
                <c:formatCode>General</c:formatCode>
                <c:ptCount val="2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Frequency!$D$8</c:f>
              <c:strCache>
                <c:ptCount val="1"/>
                <c:pt idx="0">
                  <c:v>Delta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Frequency!$B$9:$B$29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Frequency!$D$9:$D$29</c:f>
              <c:numCache>
                <c:formatCode>0.00</c:formatCode>
                <c:ptCount val="21"/>
                <c:pt idx="0">
                  <c:v>62.425172790601245</c:v>
                </c:pt>
                <c:pt idx="1">
                  <c:v>73.708091180631584</c:v>
                </c:pt>
                <c:pt idx="2">
                  <c:v>82.274571055891272</c:v>
                </c:pt>
                <c:pt idx="3">
                  <c:v>88.40471173883418</c:v>
                </c:pt>
                <c:pt idx="4">
                  <c:v>92.59737803781988</c:v>
                </c:pt>
                <c:pt idx="5">
                  <c:v>95.366237878001613</c:v>
                </c:pt>
                <c:pt idx="6">
                  <c:v>92.656362329284477</c:v>
                </c:pt>
                <c:pt idx="7">
                  <c:v>88.519064137962417</c:v>
                </c:pt>
                <c:pt idx="8">
                  <c:v>82.395401969793653</c:v>
                </c:pt>
                <c:pt idx="9">
                  <c:v>73.714202407219403</c:v>
                </c:pt>
                <c:pt idx="10">
                  <c:v>62.120553367476241</c:v>
                </c:pt>
                <c:pt idx="11">
                  <c:v>47.868980650258308</c:v>
                </c:pt>
                <c:pt idx="12">
                  <c:v>32.269939501747594</c:v>
                </c:pt>
                <c:pt idx="13">
                  <c:v>17.791344628946742</c:v>
                </c:pt>
                <c:pt idx="14">
                  <c:v>7.2105279746245365</c:v>
                </c:pt>
                <c:pt idx="15">
                  <c:v>1.7962579815301785</c:v>
                </c:pt>
                <c:pt idx="16">
                  <c:v>7.0577194940462009</c:v>
                </c:pt>
                <c:pt idx="17">
                  <c:v>17.360783234534178</c:v>
                </c:pt>
                <c:pt idx="18">
                  <c:v>31.645111946664539</c:v>
                </c:pt>
                <c:pt idx="19">
                  <c:v>47.292253393105455</c:v>
                </c:pt>
                <c:pt idx="20">
                  <c:v>61.807021365408389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39680"/>
        <c:axId val="233241216"/>
      </c:lineChart>
      <c:lineChart>
        <c:grouping val="standard"/>
        <c:varyColors val="0"/>
        <c:ser>
          <c:idx val="2"/>
          <c:order val="2"/>
          <c:tx>
            <c:strRef>
              <c:f>Frequency!$E$8</c:f>
              <c:strCache>
                <c:ptCount val="1"/>
                <c:pt idx="0">
                  <c:v>Gamma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Frequency!$B$9:$B$29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cat>
          <c:val>
            <c:numRef>
              <c:f>Frequency!$E$9:$E$29</c:f>
              <c:numCache>
                <c:formatCode>0.00</c:formatCode>
                <c:ptCount val="21"/>
                <c:pt idx="0">
                  <c:v>1138.2987993508359</c:v>
                </c:pt>
                <c:pt idx="1">
                  <c:v>1073.864519612154</c:v>
                </c:pt>
                <c:pt idx="2">
                  <c:v>930.85074799935103</c:v>
                </c:pt>
                <c:pt idx="3">
                  <c:v>755.71876710456411</c:v>
                </c:pt>
                <c:pt idx="4">
                  <c:v>582.71511113680663</c:v>
                </c:pt>
                <c:pt idx="5">
                  <c:v>431.21016988831968</c:v>
                </c:pt>
                <c:pt idx="6">
                  <c:v>576.20012987242626</c:v>
                </c:pt>
                <c:pt idx="7">
                  <c:v>742.75695809440731</c:v>
                </c:pt>
                <c:pt idx="8">
                  <c:v>912.68240544273203</c:v>
                </c:pt>
                <c:pt idx="9">
                  <c:v>1051.932852124261</c:v>
                </c:pt>
                <c:pt idx="10">
                  <c:v>1112.2613151116132</c:v>
                </c:pt>
                <c:pt idx="11">
                  <c:v>1045.6095656207194</c:v>
                </c:pt>
                <c:pt idx="12">
                  <c:v>835.03405466974289</c:v>
                </c:pt>
                <c:pt idx="13">
                  <c:v>528.93510198601189</c:v>
                </c:pt>
                <c:pt idx="14">
                  <c:v>238.43471170122436</c:v>
                </c:pt>
                <c:pt idx="15">
                  <c:v>63.750324931475419</c:v>
                </c:pt>
                <c:pt idx="16">
                  <c:v>233.28199472456751</c:v>
                </c:pt>
                <c:pt idx="17">
                  <c:v>515.18961075375921</c:v>
                </c:pt>
                <c:pt idx="18">
                  <c:v>814.8934179484653</c:v>
                </c:pt>
                <c:pt idx="19">
                  <c:v>1022.342074190738</c:v>
                </c:pt>
                <c:pt idx="20" formatCode="General">
                  <c:v>1085.3130792078493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04000"/>
        <c:axId val="233902464"/>
      </c:lineChart>
      <c:catAx>
        <c:axId val="2332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241216"/>
        <c:crosses val="autoZero"/>
        <c:auto val="1"/>
        <c:lblAlgn val="ctr"/>
        <c:lblOffset val="100"/>
        <c:noMultiLvlLbl val="0"/>
      </c:catAx>
      <c:valAx>
        <c:axId val="2332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39680"/>
        <c:crosses val="autoZero"/>
        <c:crossBetween val="between"/>
      </c:valAx>
      <c:valAx>
        <c:axId val="2339024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33904000"/>
        <c:crosses val="max"/>
        <c:crossBetween val="between"/>
      </c:valAx>
      <c:catAx>
        <c:axId val="2339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9024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9.4287610021901641E-2"/>
          <c:y val="0.90969831018313718"/>
          <c:w val="0.76668181577973893"/>
          <c:h val="9.03016898168627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Hedging Frequency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Frequent</c:v>
          </c:tx>
          <c:marker>
            <c:symbol val="none"/>
          </c:marker>
          <c:cat>
            <c:strRef>
              <c:f>'Gap Risk'!$B$8:$B$29</c:f>
              <c:strCache>
                <c:ptCount val="22"/>
                <c:pt idx="0">
                  <c:v>t</c:v>
                </c:pt>
                <c:pt idx="1">
                  <c:v>0.895</c:v>
                </c:pt>
                <c:pt idx="2">
                  <c:v>0.9</c:v>
                </c:pt>
                <c:pt idx="3">
                  <c:v>0.905</c:v>
                </c:pt>
                <c:pt idx="4">
                  <c:v>0.91</c:v>
                </c:pt>
                <c:pt idx="5">
                  <c:v>0.915</c:v>
                </c:pt>
                <c:pt idx="6">
                  <c:v>0.92</c:v>
                </c:pt>
                <c:pt idx="7">
                  <c:v>0.925</c:v>
                </c:pt>
                <c:pt idx="8">
                  <c:v>0.93</c:v>
                </c:pt>
                <c:pt idx="9">
                  <c:v>0.935</c:v>
                </c:pt>
                <c:pt idx="10">
                  <c:v>0.94</c:v>
                </c:pt>
                <c:pt idx="11">
                  <c:v>0.945</c:v>
                </c:pt>
                <c:pt idx="12">
                  <c:v>0.95</c:v>
                </c:pt>
                <c:pt idx="13">
                  <c:v>0.955</c:v>
                </c:pt>
                <c:pt idx="14">
                  <c:v>0.96</c:v>
                </c:pt>
                <c:pt idx="15">
                  <c:v>0.965</c:v>
                </c:pt>
                <c:pt idx="16">
                  <c:v>0.97</c:v>
                </c:pt>
                <c:pt idx="17">
                  <c:v>0.975</c:v>
                </c:pt>
                <c:pt idx="18">
                  <c:v>0.98</c:v>
                </c:pt>
                <c:pt idx="19">
                  <c:v>0.985</c:v>
                </c:pt>
                <c:pt idx="20">
                  <c:v>0.99</c:v>
                </c:pt>
                <c:pt idx="21">
                  <c:v>0.995</c:v>
                </c:pt>
              </c:strCache>
            </c:strRef>
          </c:cat>
          <c:val>
            <c:numRef>
              <c:f>'Gap Risk'!$K$9:$K$29</c:f>
              <c:numCache>
                <c:formatCode>0.00</c:formatCode>
                <c:ptCount val="21"/>
                <c:pt idx="0">
                  <c:v>0</c:v>
                </c:pt>
                <c:pt idx="1">
                  <c:v>125.59456246729587</c:v>
                </c:pt>
                <c:pt idx="2">
                  <c:v>222.62094803762079</c:v>
                </c:pt>
                <c:pt idx="3">
                  <c:v>182.96423459384812</c:v>
                </c:pt>
                <c:pt idx="4">
                  <c:v>129.70047886533598</c:v>
                </c:pt>
                <c:pt idx="5">
                  <c:v>76.776724460027367</c:v>
                </c:pt>
                <c:pt idx="6">
                  <c:v>42.286082284008785</c:v>
                </c:pt>
                <c:pt idx="7">
                  <c:v>146.27491550681702</c:v>
                </c:pt>
                <c:pt idx="8">
                  <c:v>304.5882855282025</c:v>
                </c:pt>
                <c:pt idx="9">
                  <c:v>467.88536099895623</c:v>
                </c:pt>
                <c:pt idx="10">
                  <c:v>578.61651275687314</c:v>
                </c:pt>
                <c:pt idx="11">
                  <c:v>533.32959860583492</c:v>
                </c:pt>
                <c:pt idx="12">
                  <c:v>457.40510793985572</c:v>
                </c:pt>
                <c:pt idx="13">
                  <c:v>382.40063291562933</c:v>
                </c:pt>
                <c:pt idx="14">
                  <c:v>350.80097632544073</c:v>
                </c:pt>
                <c:pt idx="15">
                  <c:v>434.88664578377279</c:v>
                </c:pt>
                <c:pt idx="16">
                  <c:v>658.17989254864324</c:v>
                </c:pt>
                <c:pt idx="17">
                  <c:v>918.593701956215</c:v>
                </c:pt>
                <c:pt idx="18">
                  <c:v>1008.7029354487806</c:v>
                </c:pt>
                <c:pt idx="19">
                  <c:v>989.77472739251311</c:v>
                </c:pt>
                <c:pt idx="20">
                  <c:v>824.97986330845583</c:v>
                </c:pt>
              </c:numCache>
            </c:numRef>
          </c:val>
          <c:smooth val="0"/>
        </c:ser>
        <c:ser>
          <c:idx val="1"/>
          <c:order val="1"/>
          <c:tx>
            <c:v>Rare</c:v>
          </c:tx>
          <c:marker>
            <c:symbol val="none"/>
          </c:marker>
          <c:cat>
            <c:strRef>
              <c:f>'Gap Risk'!$B$8:$B$29</c:f>
              <c:strCache>
                <c:ptCount val="22"/>
                <c:pt idx="0">
                  <c:v>t</c:v>
                </c:pt>
                <c:pt idx="1">
                  <c:v>0.895</c:v>
                </c:pt>
                <c:pt idx="2">
                  <c:v>0.9</c:v>
                </c:pt>
                <c:pt idx="3">
                  <c:v>0.905</c:v>
                </c:pt>
                <c:pt idx="4">
                  <c:v>0.91</c:v>
                </c:pt>
                <c:pt idx="5">
                  <c:v>0.915</c:v>
                </c:pt>
                <c:pt idx="6">
                  <c:v>0.92</c:v>
                </c:pt>
                <c:pt idx="7">
                  <c:v>0.925</c:v>
                </c:pt>
                <c:pt idx="8">
                  <c:v>0.93</c:v>
                </c:pt>
                <c:pt idx="9">
                  <c:v>0.935</c:v>
                </c:pt>
                <c:pt idx="10">
                  <c:v>0.94</c:v>
                </c:pt>
                <c:pt idx="11">
                  <c:v>0.945</c:v>
                </c:pt>
                <c:pt idx="12">
                  <c:v>0.95</c:v>
                </c:pt>
                <c:pt idx="13">
                  <c:v>0.955</c:v>
                </c:pt>
                <c:pt idx="14">
                  <c:v>0.96</c:v>
                </c:pt>
                <c:pt idx="15">
                  <c:v>0.965</c:v>
                </c:pt>
                <c:pt idx="16">
                  <c:v>0.97</c:v>
                </c:pt>
                <c:pt idx="17">
                  <c:v>0.975</c:v>
                </c:pt>
                <c:pt idx="18">
                  <c:v>0.98</c:v>
                </c:pt>
                <c:pt idx="19">
                  <c:v>0.985</c:v>
                </c:pt>
                <c:pt idx="20">
                  <c:v>0.99</c:v>
                </c:pt>
                <c:pt idx="21">
                  <c:v>0.995</c:v>
                </c:pt>
              </c:strCache>
            </c:strRef>
          </c:cat>
          <c:val>
            <c:numRef>
              <c:f>'Gap Risk'!$U$9:$U$29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317.45630409148066</c:v>
                </c:pt>
                <c:pt idx="3">
                  <c:v>317.45630409148066</c:v>
                </c:pt>
                <c:pt idx="4">
                  <c:v>290.75668545636859</c:v>
                </c:pt>
                <c:pt idx="5">
                  <c:v>290.75668545636859</c:v>
                </c:pt>
                <c:pt idx="6">
                  <c:v>320.0816035710576</c:v>
                </c:pt>
                <c:pt idx="7">
                  <c:v>320.0816035710576</c:v>
                </c:pt>
                <c:pt idx="8">
                  <c:v>667.8808083486947</c:v>
                </c:pt>
                <c:pt idx="9">
                  <c:v>667.8808083486947</c:v>
                </c:pt>
                <c:pt idx="10">
                  <c:v>1061.227340409165</c:v>
                </c:pt>
                <c:pt idx="11">
                  <c:v>1061.227340409165</c:v>
                </c:pt>
                <c:pt idx="12">
                  <c:v>1007.9597274515943</c:v>
                </c:pt>
                <c:pt idx="13">
                  <c:v>1007.9597274515943</c:v>
                </c:pt>
                <c:pt idx="14">
                  <c:v>1057.5899654542038</c:v>
                </c:pt>
                <c:pt idx="15">
                  <c:v>1057.5899654542038</c:v>
                </c:pt>
                <c:pt idx="16">
                  <c:v>1435.4996589964901</c:v>
                </c:pt>
                <c:pt idx="17">
                  <c:v>1435.4996589964901</c:v>
                </c:pt>
                <c:pt idx="18">
                  <c:v>1967.9960905380942</c:v>
                </c:pt>
                <c:pt idx="19">
                  <c:v>1967.9960905380942</c:v>
                </c:pt>
                <c:pt idx="20">
                  <c:v>1806.4849921839143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13952"/>
        <c:axId val="235215488"/>
      </c:lineChart>
      <c:lineChart>
        <c:grouping val="standard"/>
        <c:varyColors val="0"/>
        <c:ser>
          <c:idx val="2"/>
          <c:order val="2"/>
          <c:tx>
            <c:v>Share Price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'Gap Risk'!$C$9:$C$29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95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105</c:v>
                </c:pt>
                <c:pt idx="12">
                  <c:v>100</c:v>
                </c:pt>
                <c:pt idx="13">
                  <c:v>95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105</c:v>
                </c:pt>
                <c:pt idx="20" formatCode="0.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39296"/>
        <c:axId val="235237760"/>
      </c:lineChart>
      <c:catAx>
        <c:axId val="2352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15488"/>
        <c:crosses val="autoZero"/>
        <c:auto val="1"/>
        <c:lblAlgn val="ctr"/>
        <c:lblOffset val="100"/>
        <c:noMultiLvlLbl val="0"/>
      </c:catAx>
      <c:valAx>
        <c:axId val="235215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5213952"/>
        <c:crosses val="autoZero"/>
        <c:crossBetween val="between"/>
      </c:valAx>
      <c:valAx>
        <c:axId val="235237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5239296"/>
        <c:crosses val="max"/>
        <c:crossBetween val="between"/>
      </c:valAx>
      <c:catAx>
        <c:axId val="23523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52377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PnL Breakdown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'Gap Risk'!$I$8</c:f>
              <c:strCache>
                <c:ptCount val="1"/>
                <c:pt idx="0">
                  <c:v>Trading PnL</c:v>
                </c:pt>
              </c:strCache>
            </c:strRef>
          </c:tx>
          <c:marker>
            <c:symbol val="none"/>
          </c:marker>
          <c:cat>
            <c:numRef>
              <c:f>'Gap Risk'!$B$9:$B$29</c:f>
              <c:numCache>
                <c:formatCode>General</c:formatCode>
                <c:ptCount val="21"/>
                <c:pt idx="0">
                  <c:v>0.89500000000000002</c:v>
                </c:pt>
                <c:pt idx="1">
                  <c:v>0.9</c:v>
                </c:pt>
                <c:pt idx="2">
                  <c:v>0.90500000000000003</c:v>
                </c:pt>
                <c:pt idx="3">
                  <c:v>0.91</c:v>
                </c:pt>
                <c:pt idx="4">
                  <c:v>0.91500000000000004</c:v>
                </c:pt>
                <c:pt idx="5">
                  <c:v>0.92</c:v>
                </c:pt>
                <c:pt idx="6">
                  <c:v>0.92500000000000004</c:v>
                </c:pt>
                <c:pt idx="7">
                  <c:v>0.93</c:v>
                </c:pt>
                <c:pt idx="8">
                  <c:v>0.93500000000000005</c:v>
                </c:pt>
                <c:pt idx="9">
                  <c:v>0.94</c:v>
                </c:pt>
                <c:pt idx="10">
                  <c:v>0.94499999999999995</c:v>
                </c:pt>
                <c:pt idx="11">
                  <c:v>0.95</c:v>
                </c:pt>
                <c:pt idx="12">
                  <c:v>0.95499999999999996</c:v>
                </c:pt>
                <c:pt idx="13">
                  <c:v>0.96</c:v>
                </c:pt>
                <c:pt idx="14">
                  <c:v>0.96499999999999997</c:v>
                </c:pt>
                <c:pt idx="15">
                  <c:v>0.97</c:v>
                </c:pt>
                <c:pt idx="16">
                  <c:v>0.97499999999999998</c:v>
                </c:pt>
                <c:pt idx="17">
                  <c:v>0.98</c:v>
                </c:pt>
                <c:pt idx="18">
                  <c:v>0.98499999999999999</c:v>
                </c:pt>
                <c:pt idx="19">
                  <c:v>0.99</c:v>
                </c:pt>
                <c:pt idx="20">
                  <c:v>0.995</c:v>
                </c:pt>
              </c:numCache>
            </c:numRef>
          </c:cat>
          <c:val>
            <c:numRef>
              <c:f>'Gap Risk'!$I$9:$I$29</c:f>
              <c:numCache>
                <c:formatCode>General</c:formatCode>
                <c:ptCount val="21"/>
                <c:pt idx="0">
                  <c:v>0</c:v>
                </c:pt>
                <c:pt idx="1">
                  <c:v>-270.43221635051214</c:v>
                </c:pt>
                <c:pt idx="2">
                  <c:v>-635.69978875488414</c:v>
                </c:pt>
                <c:pt idx="3">
                  <c:v>-200.49175909661517</c:v>
                </c:pt>
                <c:pt idx="4">
                  <c:v>168.49542002448015</c:v>
                </c:pt>
                <c:pt idx="5">
                  <c:v>436.88514670464383</c:v>
                </c:pt>
                <c:pt idx="6">
                  <c:v>588.53555868879039</c:v>
                </c:pt>
                <c:pt idx="7">
                  <c:v>530.5806447736727</c:v>
                </c:pt>
                <c:pt idx="8">
                  <c:v>387.12872932511164</c:v>
                </c:pt>
                <c:pt idx="9">
                  <c:v>121.04200900199339</c:v>
                </c:pt>
                <c:pt idx="10">
                  <c:v>-264.36301615292723</c:v>
                </c:pt>
                <c:pt idx="11">
                  <c:v>197.38196063230862</c:v>
                </c:pt>
                <c:pt idx="12">
                  <c:v>591.18314555809866</c:v>
                </c:pt>
                <c:pt idx="13">
                  <c:v>854.57257744234403</c:v>
                </c:pt>
                <c:pt idx="14">
                  <c:v>961.72763970956612</c:v>
                </c:pt>
                <c:pt idx="15">
                  <c:v>944.46195966215896</c:v>
                </c:pt>
                <c:pt idx="16">
                  <c:v>856.66550229566747</c:v>
                </c:pt>
                <c:pt idx="17">
                  <c:v>596.68227413656859</c:v>
                </c:pt>
                <c:pt idx="18">
                  <c:v>154.72565733600459</c:v>
                </c:pt>
                <c:pt idx="19">
                  <c:v>652.60854066283719</c:v>
                </c:pt>
                <c:pt idx="20">
                  <c:v>1128.2794502035249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'Gap Risk'!$J$8</c:f>
              <c:strCache>
                <c:ptCount val="1"/>
                <c:pt idx="0">
                  <c:v>Option Value</c:v>
                </c:pt>
              </c:strCache>
            </c:strRef>
          </c:tx>
          <c:marker>
            <c:symbol val="none"/>
          </c:marker>
          <c:cat>
            <c:numRef>
              <c:f>'Gap Risk'!$B$9:$B$29</c:f>
              <c:numCache>
                <c:formatCode>General</c:formatCode>
                <c:ptCount val="21"/>
                <c:pt idx="0">
                  <c:v>0.89500000000000002</c:v>
                </c:pt>
                <c:pt idx="1">
                  <c:v>0.9</c:v>
                </c:pt>
                <c:pt idx="2">
                  <c:v>0.90500000000000003</c:v>
                </c:pt>
                <c:pt idx="3">
                  <c:v>0.91</c:v>
                </c:pt>
                <c:pt idx="4">
                  <c:v>0.91500000000000004</c:v>
                </c:pt>
                <c:pt idx="5">
                  <c:v>0.92</c:v>
                </c:pt>
                <c:pt idx="6">
                  <c:v>0.92500000000000004</c:v>
                </c:pt>
                <c:pt idx="7">
                  <c:v>0.93</c:v>
                </c:pt>
                <c:pt idx="8">
                  <c:v>0.93500000000000005</c:v>
                </c:pt>
                <c:pt idx="9">
                  <c:v>0.94</c:v>
                </c:pt>
                <c:pt idx="10">
                  <c:v>0.94499999999999995</c:v>
                </c:pt>
                <c:pt idx="11">
                  <c:v>0.95</c:v>
                </c:pt>
                <c:pt idx="12">
                  <c:v>0.95499999999999996</c:v>
                </c:pt>
                <c:pt idx="13">
                  <c:v>0.96</c:v>
                </c:pt>
                <c:pt idx="14">
                  <c:v>0.96499999999999997</c:v>
                </c:pt>
                <c:pt idx="15">
                  <c:v>0.97</c:v>
                </c:pt>
                <c:pt idx="16">
                  <c:v>0.97499999999999998</c:v>
                </c:pt>
                <c:pt idx="17">
                  <c:v>0.98</c:v>
                </c:pt>
                <c:pt idx="18">
                  <c:v>0.98499999999999999</c:v>
                </c:pt>
                <c:pt idx="19">
                  <c:v>0.99</c:v>
                </c:pt>
                <c:pt idx="20">
                  <c:v>0.995</c:v>
                </c:pt>
              </c:numCache>
            </c:numRef>
          </c:cat>
          <c:val>
            <c:numRef>
              <c:f>'Gap Risk'!$J$9:$J$29</c:f>
              <c:numCache>
                <c:formatCode>0.00</c:formatCode>
                <c:ptCount val="21"/>
                <c:pt idx="0">
                  <c:v>632.0027374296053</c:v>
                </c:pt>
                <c:pt idx="1">
                  <c:v>1028.0295162474133</c:v>
                </c:pt>
                <c:pt idx="2">
                  <c:v>1490.3234742221102</c:v>
                </c:pt>
                <c:pt idx="3">
                  <c:v>1015.4587311200686</c:v>
                </c:pt>
                <c:pt idx="4">
                  <c:v>593.20779627046113</c:v>
                </c:pt>
                <c:pt idx="5">
                  <c:v>271.89431518498884</c:v>
                </c:pt>
                <c:pt idx="6">
                  <c:v>85.753261024823672</c:v>
                </c:pt>
                <c:pt idx="7">
                  <c:v>247.69700816274957</c:v>
                </c:pt>
                <c:pt idx="8">
                  <c:v>549.46229363269617</c:v>
                </c:pt>
                <c:pt idx="9">
                  <c:v>978.84608942656826</c:v>
                </c:pt>
                <c:pt idx="10">
                  <c:v>1474.9822663394057</c:v>
                </c:pt>
                <c:pt idx="11">
                  <c:v>967.9503754031316</c:v>
                </c:pt>
                <c:pt idx="12">
                  <c:v>498.22469981136237</c:v>
                </c:pt>
                <c:pt idx="13">
                  <c:v>159.83079290289055</c:v>
                </c:pt>
                <c:pt idx="14">
                  <c:v>21.076074045479885</c:v>
                </c:pt>
                <c:pt idx="15">
                  <c:v>122.42742355121922</c:v>
                </c:pt>
                <c:pt idx="16">
                  <c:v>433.51712768258108</c:v>
                </c:pt>
                <c:pt idx="17">
                  <c:v>953.91416524925171</c:v>
                </c:pt>
                <c:pt idx="18">
                  <c:v>1485.9800155423814</c:v>
                </c:pt>
                <c:pt idx="19">
                  <c:v>969.16892415928123</c:v>
                </c:pt>
                <c:pt idx="20">
                  <c:v>328.70315053453612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'Gap Risk'!$K$8</c:f>
              <c:strCache>
                <c:ptCount val="1"/>
                <c:pt idx="0">
                  <c:v>Total PnL</c:v>
                </c:pt>
              </c:strCache>
            </c:strRef>
          </c:tx>
          <c:marker>
            <c:symbol val="none"/>
          </c:marker>
          <c:cat>
            <c:numRef>
              <c:f>'Gap Risk'!$B$9:$B$29</c:f>
              <c:numCache>
                <c:formatCode>General</c:formatCode>
                <c:ptCount val="21"/>
                <c:pt idx="0">
                  <c:v>0.89500000000000002</c:v>
                </c:pt>
                <c:pt idx="1">
                  <c:v>0.9</c:v>
                </c:pt>
                <c:pt idx="2">
                  <c:v>0.90500000000000003</c:v>
                </c:pt>
                <c:pt idx="3">
                  <c:v>0.91</c:v>
                </c:pt>
                <c:pt idx="4">
                  <c:v>0.91500000000000004</c:v>
                </c:pt>
                <c:pt idx="5">
                  <c:v>0.92</c:v>
                </c:pt>
                <c:pt idx="6">
                  <c:v>0.92500000000000004</c:v>
                </c:pt>
                <c:pt idx="7">
                  <c:v>0.93</c:v>
                </c:pt>
                <c:pt idx="8">
                  <c:v>0.93500000000000005</c:v>
                </c:pt>
                <c:pt idx="9">
                  <c:v>0.94</c:v>
                </c:pt>
                <c:pt idx="10">
                  <c:v>0.94499999999999995</c:v>
                </c:pt>
                <c:pt idx="11">
                  <c:v>0.95</c:v>
                </c:pt>
                <c:pt idx="12">
                  <c:v>0.95499999999999996</c:v>
                </c:pt>
                <c:pt idx="13">
                  <c:v>0.96</c:v>
                </c:pt>
                <c:pt idx="14">
                  <c:v>0.96499999999999997</c:v>
                </c:pt>
                <c:pt idx="15">
                  <c:v>0.97</c:v>
                </c:pt>
                <c:pt idx="16">
                  <c:v>0.97499999999999998</c:v>
                </c:pt>
                <c:pt idx="17">
                  <c:v>0.98</c:v>
                </c:pt>
                <c:pt idx="18">
                  <c:v>0.98499999999999999</c:v>
                </c:pt>
                <c:pt idx="19">
                  <c:v>0.99</c:v>
                </c:pt>
                <c:pt idx="20">
                  <c:v>0.995</c:v>
                </c:pt>
              </c:numCache>
            </c:numRef>
          </c:cat>
          <c:val>
            <c:numRef>
              <c:f>'Gap Risk'!$K$9:$K$29</c:f>
              <c:numCache>
                <c:formatCode>0.00</c:formatCode>
                <c:ptCount val="21"/>
                <c:pt idx="0">
                  <c:v>0</c:v>
                </c:pt>
                <c:pt idx="1">
                  <c:v>125.59456246729587</c:v>
                </c:pt>
                <c:pt idx="2">
                  <c:v>222.62094803762079</c:v>
                </c:pt>
                <c:pt idx="3">
                  <c:v>182.96423459384812</c:v>
                </c:pt>
                <c:pt idx="4">
                  <c:v>129.70047886533598</c:v>
                </c:pt>
                <c:pt idx="5">
                  <c:v>76.776724460027367</c:v>
                </c:pt>
                <c:pt idx="6">
                  <c:v>42.286082284008785</c:v>
                </c:pt>
                <c:pt idx="7">
                  <c:v>146.27491550681702</c:v>
                </c:pt>
                <c:pt idx="8">
                  <c:v>304.5882855282025</c:v>
                </c:pt>
                <c:pt idx="9">
                  <c:v>467.88536099895623</c:v>
                </c:pt>
                <c:pt idx="10">
                  <c:v>578.61651275687314</c:v>
                </c:pt>
                <c:pt idx="11">
                  <c:v>533.32959860583492</c:v>
                </c:pt>
                <c:pt idx="12">
                  <c:v>457.40510793985572</c:v>
                </c:pt>
                <c:pt idx="13">
                  <c:v>382.40063291562933</c:v>
                </c:pt>
                <c:pt idx="14">
                  <c:v>350.80097632544073</c:v>
                </c:pt>
                <c:pt idx="15">
                  <c:v>434.88664578377279</c:v>
                </c:pt>
                <c:pt idx="16">
                  <c:v>658.17989254864324</c:v>
                </c:pt>
                <c:pt idx="17">
                  <c:v>918.593701956215</c:v>
                </c:pt>
                <c:pt idx="18">
                  <c:v>1008.7029354487806</c:v>
                </c:pt>
                <c:pt idx="19">
                  <c:v>989.77472739251311</c:v>
                </c:pt>
                <c:pt idx="20">
                  <c:v>824.97986330845583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72448"/>
        <c:axId val="238579712"/>
      </c:lineChart>
      <c:catAx>
        <c:axId val="2352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579712"/>
        <c:crosses val="autoZero"/>
        <c:auto val="1"/>
        <c:lblAlgn val="ctr"/>
        <c:lblOffset val="100"/>
        <c:noMultiLvlLbl val="0"/>
      </c:catAx>
      <c:valAx>
        <c:axId val="2385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72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Greeks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'Gap Risk'!$C$8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'Gap Risk'!$B$9:$B$29</c:f>
              <c:numCache>
                <c:formatCode>General</c:formatCode>
                <c:ptCount val="21"/>
                <c:pt idx="0">
                  <c:v>0.89500000000000002</c:v>
                </c:pt>
                <c:pt idx="1">
                  <c:v>0.9</c:v>
                </c:pt>
                <c:pt idx="2">
                  <c:v>0.90500000000000003</c:v>
                </c:pt>
                <c:pt idx="3">
                  <c:v>0.91</c:v>
                </c:pt>
                <c:pt idx="4">
                  <c:v>0.91500000000000004</c:v>
                </c:pt>
                <c:pt idx="5">
                  <c:v>0.92</c:v>
                </c:pt>
                <c:pt idx="6">
                  <c:v>0.92500000000000004</c:v>
                </c:pt>
                <c:pt idx="7">
                  <c:v>0.93</c:v>
                </c:pt>
                <c:pt idx="8">
                  <c:v>0.93500000000000005</c:v>
                </c:pt>
                <c:pt idx="9">
                  <c:v>0.94</c:v>
                </c:pt>
                <c:pt idx="10">
                  <c:v>0.94499999999999995</c:v>
                </c:pt>
                <c:pt idx="11">
                  <c:v>0.95</c:v>
                </c:pt>
                <c:pt idx="12">
                  <c:v>0.95499999999999996</c:v>
                </c:pt>
                <c:pt idx="13">
                  <c:v>0.96</c:v>
                </c:pt>
                <c:pt idx="14">
                  <c:v>0.96499999999999997</c:v>
                </c:pt>
                <c:pt idx="15">
                  <c:v>0.97</c:v>
                </c:pt>
                <c:pt idx="16">
                  <c:v>0.97499999999999998</c:v>
                </c:pt>
                <c:pt idx="17">
                  <c:v>0.98</c:v>
                </c:pt>
                <c:pt idx="18">
                  <c:v>0.98499999999999999</c:v>
                </c:pt>
                <c:pt idx="19">
                  <c:v>0.99</c:v>
                </c:pt>
                <c:pt idx="20">
                  <c:v>0.995</c:v>
                </c:pt>
              </c:numCache>
            </c:numRef>
          </c:cat>
          <c:val>
            <c:numRef>
              <c:f>'Gap Risk'!$C$9:$C$29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95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105</c:v>
                </c:pt>
                <c:pt idx="12">
                  <c:v>100</c:v>
                </c:pt>
                <c:pt idx="13">
                  <c:v>95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105</c:v>
                </c:pt>
                <c:pt idx="20" formatCode="0.0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'Gap Risk'!$D$8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cat>
            <c:numRef>
              <c:f>'Gap Risk'!$B$9:$B$29</c:f>
              <c:numCache>
                <c:formatCode>General</c:formatCode>
                <c:ptCount val="21"/>
                <c:pt idx="0">
                  <c:v>0.89500000000000002</c:v>
                </c:pt>
                <c:pt idx="1">
                  <c:v>0.9</c:v>
                </c:pt>
                <c:pt idx="2">
                  <c:v>0.90500000000000003</c:v>
                </c:pt>
                <c:pt idx="3">
                  <c:v>0.91</c:v>
                </c:pt>
                <c:pt idx="4">
                  <c:v>0.91500000000000004</c:v>
                </c:pt>
                <c:pt idx="5">
                  <c:v>0.92</c:v>
                </c:pt>
                <c:pt idx="6">
                  <c:v>0.92500000000000004</c:v>
                </c:pt>
                <c:pt idx="7">
                  <c:v>0.93</c:v>
                </c:pt>
                <c:pt idx="8">
                  <c:v>0.93500000000000005</c:v>
                </c:pt>
                <c:pt idx="9">
                  <c:v>0.94</c:v>
                </c:pt>
                <c:pt idx="10">
                  <c:v>0.94499999999999995</c:v>
                </c:pt>
                <c:pt idx="11">
                  <c:v>0.95</c:v>
                </c:pt>
                <c:pt idx="12">
                  <c:v>0.95499999999999996</c:v>
                </c:pt>
                <c:pt idx="13">
                  <c:v>0.96</c:v>
                </c:pt>
                <c:pt idx="14">
                  <c:v>0.96499999999999997</c:v>
                </c:pt>
                <c:pt idx="15">
                  <c:v>0.97</c:v>
                </c:pt>
                <c:pt idx="16">
                  <c:v>0.97499999999999998</c:v>
                </c:pt>
                <c:pt idx="17">
                  <c:v>0.98</c:v>
                </c:pt>
                <c:pt idx="18">
                  <c:v>0.98499999999999999</c:v>
                </c:pt>
                <c:pt idx="19">
                  <c:v>0.99</c:v>
                </c:pt>
                <c:pt idx="20">
                  <c:v>0.995</c:v>
                </c:pt>
              </c:numCache>
            </c:numRef>
          </c:cat>
          <c:val>
            <c:numRef>
              <c:f>'Gap Risk'!$D$9:$D$29</c:f>
              <c:numCache>
                <c:formatCode>0.00</c:formatCode>
                <c:ptCount val="21"/>
                <c:pt idx="0">
                  <c:v>54.086443270102414</c:v>
                </c:pt>
                <c:pt idx="1">
                  <c:v>73.053514480874384</c:v>
                </c:pt>
                <c:pt idx="2">
                  <c:v>87.041605931653621</c:v>
                </c:pt>
                <c:pt idx="3">
                  <c:v>73.797435824218965</c:v>
                </c:pt>
                <c:pt idx="4">
                  <c:v>53.677945336032614</c:v>
                </c:pt>
                <c:pt idx="5">
                  <c:v>30.330082396829333</c:v>
                </c:pt>
                <c:pt idx="6">
                  <c:v>11.590982783023509</c:v>
                </c:pt>
                <c:pt idx="7">
                  <c:v>28.690383089712146</c:v>
                </c:pt>
                <c:pt idx="8">
                  <c:v>53.217344064623774</c:v>
                </c:pt>
                <c:pt idx="9">
                  <c:v>77.081005030984073</c:v>
                </c:pt>
                <c:pt idx="10">
                  <c:v>92.348995357047286</c:v>
                </c:pt>
                <c:pt idx="11">
                  <c:v>78.760236985157945</c:v>
                </c:pt>
                <c:pt idx="12">
                  <c:v>52.677886376849138</c:v>
                </c:pt>
                <c:pt idx="13">
                  <c:v>21.431012453444389</c:v>
                </c:pt>
                <c:pt idx="14">
                  <c:v>3.4531360094814452</c:v>
                </c:pt>
                <c:pt idx="15">
                  <c:v>17.559291473298309</c:v>
                </c:pt>
                <c:pt idx="16">
                  <c:v>51.996645631819646</c:v>
                </c:pt>
                <c:pt idx="17">
                  <c:v>88.391323360112622</c:v>
                </c:pt>
                <c:pt idx="18">
                  <c:v>99.576576665366645</c:v>
                </c:pt>
                <c:pt idx="19">
                  <c:v>95.13418190813745</c:v>
                </c:pt>
                <c:pt idx="20">
                  <c:v>50.893225531100853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34368"/>
        <c:axId val="239035904"/>
      </c:lineChart>
      <c:lineChart>
        <c:grouping val="standard"/>
        <c:varyColors val="0"/>
        <c:ser>
          <c:idx val="2"/>
          <c:order val="2"/>
          <c:tx>
            <c:strRef>
              <c:f>'Gap Risk'!$E$8</c:f>
              <c:strCache>
                <c:ptCount val="1"/>
                <c:pt idx="0">
                  <c:v>Gamma</c:v>
                </c:pt>
              </c:strCache>
            </c:strRef>
          </c:tx>
          <c:marker>
            <c:symbol val="none"/>
          </c:marker>
          <c:cat>
            <c:numRef>
              <c:f>'Gap Risk'!$B$9:$B$29</c:f>
              <c:numCache>
                <c:formatCode>General</c:formatCode>
                <c:ptCount val="21"/>
                <c:pt idx="0">
                  <c:v>0.89500000000000002</c:v>
                </c:pt>
                <c:pt idx="1">
                  <c:v>0.9</c:v>
                </c:pt>
                <c:pt idx="2">
                  <c:v>0.90500000000000003</c:v>
                </c:pt>
                <c:pt idx="3">
                  <c:v>0.91</c:v>
                </c:pt>
                <c:pt idx="4">
                  <c:v>0.91500000000000004</c:v>
                </c:pt>
                <c:pt idx="5">
                  <c:v>0.92</c:v>
                </c:pt>
                <c:pt idx="6">
                  <c:v>0.92500000000000004</c:v>
                </c:pt>
                <c:pt idx="7">
                  <c:v>0.93</c:v>
                </c:pt>
                <c:pt idx="8">
                  <c:v>0.93500000000000005</c:v>
                </c:pt>
                <c:pt idx="9">
                  <c:v>0.94</c:v>
                </c:pt>
                <c:pt idx="10">
                  <c:v>0.94499999999999995</c:v>
                </c:pt>
                <c:pt idx="11">
                  <c:v>0.95</c:v>
                </c:pt>
                <c:pt idx="12">
                  <c:v>0.95499999999999996</c:v>
                </c:pt>
                <c:pt idx="13">
                  <c:v>0.96</c:v>
                </c:pt>
                <c:pt idx="14">
                  <c:v>0.96499999999999997</c:v>
                </c:pt>
                <c:pt idx="15">
                  <c:v>0.97</c:v>
                </c:pt>
                <c:pt idx="16">
                  <c:v>0.97499999999999998</c:v>
                </c:pt>
                <c:pt idx="17">
                  <c:v>0.98</c:v>
                </c:pt>
                <c:pt idx="18">
                  <c:v>0.98499999999999999</c:v>
                </c:pt>
                <c:pt idx="19">
                  <c:v>0.99</c:v>
                </c:pt>
                <c:pt idx="20">
                  <c:v>0.995</c:v>
                </c:pt>
              </c:numCache>
            </c:numRef>
          </c:cat>
          <c:val>
            <c:numRef>
              <c:f>'Gap Risk'!$E$9:$E$29</c:f>
              <c:numCache>
                <c:formatCode>0.00</c:formatCode>
                <c:ptCount val="21"/>
                <c:pt idx="0">
                  <c:v>385.77989503075753</c:v>
                </c:pt>
                <c:pt idx="1">
                  <c:v>329.03467450556769</c:v>
                </c:pt>
                <c:pt idx="2">
                  <c:v>214.69143041714906</c:v>
                </c:pt>
                <c:pt idx="3">
                  <c:v>307.75067185430993</c:v>
                </c:pt>
                <c:pt idx="4">
                  <c:v>347.44807092257167</c:v>
                </c:pt>
                <c:pt idx="5">
                  <c:v>281.65833349101882</c:v>
                </c:pt>
                <c:pt idx="6">
                  <c:v>144.33025071953156</c:v>
                </c:pt>
                <c:pt idx="7">
                  <c:v>256.80813117901482</c:v>
                </c:pt>
                <c:pt idx="8">
                  <c:v>304.13935534925974</c:v>
                </c:pt>
                <c:pt idx="9">
                  <c:v>233.82897034461354</c:v>
                </c:pt>
                <c:pt idx="10">
                  <c:v>111.22848543573896</c:v>
                </c:pt>
                <c:pt idx="11">
                  <c:v>204.35273574621266</c:v>
                </c:pt>
                <c:pt idx="12">
                  <c:v>253.31312959662395</c:v>
                </c:pt>
                <c:pt idx="13">
                  <c:v>166.23762532896623</c:v>
                </c:pt>
                <c:pt idx="14">
                  <c:v>38.601305902588429</c:v>
                </c:pt>
                <c:pt idx="15">
                  <c:v>127.51996555081209</c:v>
                </c:pt>
                <c:pt idx="16">
                  <c:v>188.99788701198571</c:v>
                </c:pt>
                <c:pt idx="17">
                  <c:v>87.048001822785878</c:v>
                </c:pt>
                <c:pt idx="18">
                  <c:v>5.0383251129088613</c:v>
                </c:pt>
                <c:pt idx="19">
                  <c:v>31.789722079873783</c:v>
                </c:pt>
                <c:pt idx="20">
                  <c:v>84.607224312161449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47424"/>
        <c:axId val="239037440"/>
      </c:lineChart>
      <c:catAx>
        <c:axId val="2390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035904"/>
        <c:crosses val="autoZero"/>
        <c:auto val="1"/>
        <c:lblAlgn val="ctr"/>
        <c:lblOffset val="100"/>
        <c:noMultiLvlLbl val="0"/>
      </c:catAx>
      <c:valAx>
        <c:axId val="2390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34368"/>
        <c:crosses val="autoZero"/>
        <c:crossBetween val="between"/>
      </c:valAx>
      <c:valAx>
        <c:axId val="2390374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39047424"/>
        <c:crosses val="max"/>
        <c:crossBetween val="between"/>
      </c:valAx>
      <c:catAx>
        <c:axId val="2390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0374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Hedging Frequency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Frequent</c:v>
          </c:tx>
          <c:marker>
            <c:symbol val="none"/>
          </c:marker>
          <c:cat>
            <c:strRef>
              <c:f>'Expected Profit'!$B$8:$B$29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</c:strCache>
            </c:strRef>
          </c:cat>
          <c:val>
            <c:numRef>
              <c:f>'Expected Profit'!$K$9:$K$29</c:f>
              <c:numCache>
                <c:formatCode>0.00</c:formatCode>
                <c:ptCount val="21"/>
                <c:pt idx="0">
                  <c:v>0</c:v>
                </c:pt>
                <c:pt idx="1">
                  <c:v>-6.0729974399123421E-2</c:v>
                </c:pt>
                <c:pt idx="2">
                  <c:v>-8.0479638808583331E-2</c:v>
                </c:pt>
                <c:pt idx="3">
                  <c:v>-6.1230792788592225E-2</c:v>
                </c:pt>
                <c:pt idx="4">
                  <c:v>-5.3767187525863847E-3</c:v>
                </c:pt>
                <c:pt idx="5">
                  <c:v>8.4342635687335132E-2</c:v>
                </c:pt>
                <c:pt idx="6">
                  <c:v>-0.37452828213395151</c:v>
                </c:pt>
                <c:pt idx="7">
                  <c:v>-0.88790630895505274</c:v>
                </c:pt>
                <c:pt idx="8">
                  <c:v>-1.4577904462676088</c:v>
                </c:pt>
                <c:pt idx="9">
                  <c:v>-2.0856120800253848</c:v>
                </c:pt>
                <c:pt idx="10">
                  <c:v>-2.7721285595935115</c:v>
                </c:pt>
                <c:pt idx="11">
                  <c:v>-3.5173196127052506</c:v>
                </c:pt>
                <c:pt idx="12">
                  <c:v>-4.3202908371706599</c:v>
                </c:pt>
                <c:pt idx="13">
                  <c:v>-5.1791890205259961</c:v>
                </c:pt>
                <c:pt idx="14">
                  <c:v>-6.0911344058876011</c:v>
                </c:pt>
                <c:pt idx="15">
                  <c:v>-7.0521751880880856</c:v>
                </c:pt>
                <c:pt idx="16">
                  <c:v>-5.9537020582998821</c:v>
                </c:pt>
                <c:pt idx="17">
                  <c:v>-4.8140295563410973</c:v>
                </c:pt>
                <c:pt idx="18">
                  <c:v>-3.6390669231253696</c:v>
                </c:pt>
                <c:pt idx="19">
                  <c:v>-2.4351817651788679</c:v>
                </c:pt>
                <c:pt idx="20">
                  <c:v>-1.209092138545202</c:v>
                </c:pt>
              </c:numCache>
            </c:numRef>
          </c:val>
          <c:smooth val="0"/>
        </c:ser>
        <c:ser>
          <c:idx val="1"/>
          <c:order val="1"/>
          <c:tx>
            <c:v>Rare</c:v>
          </c:tx>
          <c:marker>
            <c:symbol val="none"/>
          </c:marker>
          <c:cat>
            <c:strRef>
              <c:f>'Expected Profit'!$B$8:$B$29</c:f>
              <c:strCache>
                <c:ptCount val="22"/>
                <c:pt idx="0">
                  <c:v>t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</c:strCache>
            </c:strRef>
          </c:cat>
          <c:val>
            <c:numRef>
              <c:f>'Expected Profit'!#REF!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28960"/>
        <c:axId val="239130496"/>
      </c:lineChart>
      <c:lineChart>
        <c:grouping val="standard"/>
        <c:varyColors val="0"/>
        <c:ser>
          <c:idx val="2"/>
          <c:order val="2"/>
          <c:tx>
            <c:v>Share Price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'Expected Profit'!$C$9:$C$29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104</c:v>
                </c:pt>
                <c:pt idx="7">
                  <c:v>103</c:v>
                </c:pt>
                <c:pt idx="8">
                  <c:v>102</c:v>
                </c:pt>
                <c:pt idx="9">
                  <c:v>101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37920"/>
        <c:axId val="239132032"/>
      </c:lineChart>
      <c:catAx>
        <c:axId val="239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130496"/>
        <c:crosses val="autoZero"/>
        <c:auto val="1"/>
        <c:lblAlgn val="ctr"/>
        <c:lblOffset val="100"/>
        <c:noMultiLvlLbl val="0"/>
      </c:catAx>
      <c:valAx>
        <c:axId val="239130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9128960"/>
        <c:crosses val="autoZero"/>
        <c:crossBetween val="between"/>
      </c:valAx>
      <c:valAx>
        <c:axId val="23913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9137920"/>
        <c:crosses val="max"/>
        <c:crossBetween val="between"/>
      </c:valAx>
      <c:catAx>
        <c:axId val="23913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391320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Theta Decay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'Theta Decay'!$J$8</c:f>
              <c:strCache>
                <c:ptCount val="1"/>
                <c:pt idx="0">
                  <c:v>Option Value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'Theta Decay'!$J$9:$J$29</c:f>
              <c:numCache>
                <c:formatCode>0.00</c:formatCode>
                <c:ptCount val="21"/>
                <c:pt idx="0">
                  <c:v>1045.0583572185565</c:v>
                </c:pt>
                <c:pt idx="1">
                  <c:v>1043.1793403381462</c:v>
                </c:pt>
                <c:pt idx="2">
                  <c:v>1041.2946661741885</c:v>
                </c:pt>
                <c:pt idx="3">
                  <c:v>1039.4042938603213</c:v>
                </c:pt>
                <c:pt idx="4">
                  <c:v>1037.5081820183468</c:v>
                </c:pt>
                <c:pt idx="5">
                  <c:v>1035.6062887491275</c:v>
                </c:pt>
                <c:pt idx="6">
                  <c:v>1033.6985716232803</c:v>
                </c:pt>
                <c:pt idx="7">
                  <c:v>1031.784987671648</c:v>
                </c:pt>
                <c:pt idx="8">
                  <c:v>1029.8654933755565</c:v>
                </c:pt>
                <c:pt idx="9">
                  <c:v>1027.9400446568445</c:v>
                </c:pt>
                <c:pt idx="10">
                  <c:v>1026.0085968676472</c:v>
                </c:pt>
                <c:pt idx="11">
                  <c:v>1024.0711047799487</c:v>
                </c:pt>
                <c:pt idx="12">
                  <c:v>1022.1275225748855</c:v>
                </c:pt>
                <c:pt idx="13">
                  <c:v>1020.1778038317947</c:v>
                </c:pt>
                <c:pt idx="14">
                  <c:v>1018.2219015169849</c:v>
                </c:pt>
                <c:pt idx="15">
                  <c:v>1016.2597679722616</c:v>
                </c:pt>
                <c:pt idx="16">
                  <c:v>1014.2913549031533</c:v>
                </c:pt>
                <c:pt idx="17">
                  <c:v>1012.3166133668569</c:v>
                </c:pt>
                <c:pt idx="18">
                  <c:v>1010.3354937598851</c:v>
                </c:pt>
                <c:pt idx="19">
                  <c:v>1008.3479458054185</c:v>
                </c:pt>
                <c:pt idx="20">
                  <c:v>1006.35391854033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39072"/>
        <c:axId val="240740608"/>
      </c:lineChart>
      <c:catAx>
        <c:axId val="2407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740608"/>
        <c:crosses val="autoZero"/>
        <c:auto val="1"/>
        <c:lblAlgn val="ctr"/>
        <c:lblOffset val="100"/>
        <c:noMultiLvlLbl val="0"/>
      </c:catAx>
      <c:valAx>
        <c:axId val="240740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0739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Greeks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'Theta Decay'!$E$8</c:f>
              <c:strCache>
                <c:ptCount val="1"/>
                <c:pt idx="0">
                  <c:v>Gamma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'Theta Decay'!$E$9:$E$29</c:f>
              <c:numCache>
                <c:formatCode>0.00</c:formatCode>
                <c:ptCount val="21"/>
                <c:pt idx="0">
                  <c:v>750.48069383387588</c:v>
                </c:pt>
                <c:pt idx="1">
                  <c:v>748.83143548020701</c:v>
                </c:pt>
                <c:pt idx="2">
                  <c:v>747.17636755556202</c:v>
                </c:pt>
                <c:pt idx="3">
                  <c:v>745.5154493262495</c:v>
                </c:pt>
                <c:pt idx="4">
                  <c:v>743.84863955567835</c:v>
                </c:pt>
                <c:pt idx="5">
                  <c:v>742.17589649546755</c:v>
                </c:pt>
                <c:pt idx="6">
                  <c:v>740.49717787635063</c:v>
                </c:pt>
                <c:pt idx="7">
                  <c:v>738.81244089887264</c:v>
                </c:pt>
                <c:pt idx="8">
                  <c:v>737.12164222386673</c:v>
                </c:pt>
                <c:pt idx="9">
                  <c:v>735.42473796271406</c:v>
                </c:pt>
                <c:pt idx="10">
                  <c:v>733.72168366737003</c:v>
                </c:pt>
                <c:pt idx="11">
                  <c:v>732.01243432015985</c:v>
                </c:pt>
                <c:pt idx="12">
                  <c:v>730.29694432332872</c:v>
                </c:pt>
                <c:pt idx="13">
                  <c:v>728.57516748834541</c:v>
                </c:pt>
                <c:pt idx="14">
                  <c:v>726.8470570249483</c:v>
                </c:pt>
                <c:pt idx="15">
                  <c:v>725.11256552992745</c:v>
                </c:pt>
                <c:pt idx="16">
                  <c:v>723.37164497563685</c:v>
                </c:pt>
                <c:pt idx="17">
                  <c:v>721.6242466982236</c:v>
                </c:pt>
                <c:pt idx="18">
                  <c:v>719.87032138557277</c:v>
                </c:pt>
                <c:pt idx="19">
                  <c:v>718.10981906495203</c:v>
                </c:pt>
                <c:pt idx="20">
                  <c:v>716.34268909035268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47104"/>
        <c:axId val="240845568"/>
      </c:lineChart>
      <c:lineChart>
        <c:grouping val="standard"/>
        <c:varyColors val="0"/>
        <c:ser>
          <c:idx val="2"/>
          <c:order val="0"/>
          <c:tx>
            <c:strRef>
              <c:f>'Theta Decay'!$L$8</c:f>
              <c:strCache>
                <c:ptCount val="1"/>
                <c:pt idx="0">
                  <c:v>Theta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'Theta Decay'!$L$9:$L$29</c:f>
              <c:numCache>
                <c:formatCode>General</c:formatCode>
                <c:ptCount val="21"/>
                <c:pt idx="0">
                  <c:v>-1.9137257692763836</c:v>
                </c:pt>
                <c:pt idx="1">
                  <c:v>-1.9144061297343791</c:v>
                </c:pt>
                <c:pt idx="2">
                  <c:v>-1.9150874403329647</c:v>
                </c:pt>
                <c:pt idx="3">
                  <c:v>-1.9157697108469749</c:v>
                </c:pt>
                <c:pt idx="4">
                  <c:v>-1.9164529512239925</c:v>
                </c:pt>
                <c:pt idx="5">
                  <c:v>-1.9171371715883141</c:v>
                </c:pt>
                <c:pt idx="6">
                  <c:v>-1.9178223822450426</c:v>
                </c:pt>
                <c:pt idx="7">
                  <c:v>-1.9185085936842823</c:v>
                </c:pt>
                <c:pt idx="8">
                  <c:v>-1.9191958165854652</c:v>
                </c:pt>
                <c:pt idx="9">
                  <c:v>-1.9198840618217943</c:v>
                </c:pt>
                <c:pt idx="10">
                  <c:v>-1.920573340464818</c:v>
                </c:pt>
                <c:pt idx="11">
                  <c:v>-1.9212636637891367</c:v>
                </c:pt>
                <c:pt idx="12">
                  <c:v>-1.9219550432772488</c:v>
                </c:pt>
                <c:pt idx="13">
                  <c:v>-1.9226474906245339</c:v>
                </c:pt>
                <c:pt idx="14">
                  <c:v>-1.9233410177443873</c:v>
                </c:pt>
                <c:pt idx="15">
                  <c:v>-1.9240356367735079</c:v>
                </c:pt>
                <c:pt idx="16">
                  <c:v>-1.9247313600773368</c:v>
                </c:pt>
                <c:pt idx="17">
                  <c:v>-1.9254282002556671</c:v>
                </c:pt>
                <c:pt idx="18">
                  <c:v>-1.9261261701484194</c:v>
                </c:pt>
                <c:pt idx="19">
                  <c:v>-1.9268252828415888</c:v>
                </c:pt>
                <c:pt idx="20">
                  <c:v>-1.9275255516733794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58624"/>
        <c:axId val="240857088"/>
      </c:lineChart>
      <c:valAx>
        <c:axId val="2408455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40847104"/>
        <c:crosses val="max"/>
        <c:crossBetween val="between"/>
      </c:valAx>
      <c:catAx>
        <c:axId val="2408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845568"/>
        <c:crosses val="autoZero"/>
        <c:auto val="1"/>
        <c:lblAlgn val="ctr"/>
        <c:lblOffset val="100"/>
        <c:noMultiLvlLbl val="0"/>
      </c:catAx>
      <c:valAx>
        <c:axId val="24085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0858624"/>
        <c:crosses val="autoZero"/>
        <c:crossBetween val="between"/>
      </c:valAx>
      <c:catAx>
        <c:axId val="24085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408570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20</xdr:row>
      <xdr:rowOff>0</xdr:rowOff>
    </xdr:from>
    <xdr:ext cx="3790950" cy="1169551"/>
    <xdr:sp macro="" textlink="">
      <xdr:nvSpPr>
        <xdr:cNvPr id="2" name="TextBox 1"/>
        <xdr:cNvSpPr txBox="1"/>
      </xdr:nvSpPr>
      <xdr:spPr>
        <a:xfrm>
          <a:off x="323850" y="4013200"/>
          <a:ext cx="3790950" cy="11695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 i="0">
              <a:latin typeface="Cambria Math"/>
            </a:rPr>
            <a:t>𝐷𝑎𝑖𝑙𝑦 𝑃𝑛𝐿=  1/2</a:t>
          </a:r>
          <a:r>
            <a:rPr lang="el-GR" sz="1400" b="0" i="0">
              <a:latin typeface="Cambria Math"/>
            </a:rPr>
            <a:t> 𝛤</a:t>
          </a:r>
          <a:r>
            <a:rPr lang="en-US" sz="1400" b="0" i="0">
              <a:latin typeface="Cambria Math"/>
            </a:rPr>
            <a:t>(</a:t>
          </a:r>
          <a:r>
            <a:rPr lang="en-US" sz="1400" b="0" i="0">
              <a:latin typeface="Cambria Math"/>
              <a:ea typeface="Cambria Math"/>
            </a:rPr>
            <a:t>∆𝑆)^</a:t>
          </a:r>
          <a:r>
            <a:rPr lang="en-US" sz="1400" b="0" i="0">
              <a:latin typeface="Cambria Math"/>
            </a:rPr>
            <a:t>2+</a:t>
          </a:r>
          <a:r>
            <a:rPr lang="el-GR" sz="1400" b="0" i="0">
              <a:latin typeface="Cambria Math"/>
            </a:rPr>
            <a:t>𝛩(</a:t>
          </a:r>
          <a:r>
            <a:rPr lang="el-GR" sz="1400" b="0" i="0">
              <a:latin typeface="Cambria Math"/>
              <a:ea typeface="Cambria Math"/>
            </a:rPr>
            <a:t>∆</a:t>
          </a:r>
          <a:r>
            <a:rPr lang="en-US" sz="1400" b="0" i="0">
              <a:latin typeface="Cambria Math"/>
              <a:ea typeface="Cambria Math"/>
            </a:rPr>
            <a:t>𝑡</a:t>
          </a:r>
          <a:r>
            <a:rPr lang="el-GR" sz="1400" b="0" i="0">
              <a:latin typeface="Cambria Math"/>
              <a:ea typeface="Cambria Math"/>
            </a:rPr>
            <a:t>)</a:t>
          </a:r>
          <a:r>
            <a:rPr lang="en-US" sz="1400" b="0" i="0">
              <a:latin typeface="Cambria Math"/>
            </a:rPr>
            <a:t>+𝑜</a:t>
          </a:r>
          <a:r>
            <a:rPr lang="en-US" sz="1400" b="0" i="1">
              <a:latin typeface="Cambria Math"/>
            </a:rPr>
            <a:t>𝑡ℎ𝑒𝑟</a:t>
          </a:r>
          <a:r>
            <a:rPr lang="en-US" sz="1400" b="0" i="0">
              <a:latin typeface="Cambria Math"/>
            </a:rPr>
            <a:t> 𝑃𝑛𝐿</a:t>
          </a:r>
          <a:endParaRPr lang="en-US" sz="1400"/>
        </a:p>
        <a:p>
          <a:endParaRPr lang="en-US" sz="1400"/>
        </a:p>
        <a:p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𝛩</a:t>
          </a:r>
          <a:r>
            <a:rPr lang="en-US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Cambria Math"/>
              <a:ea typeface="Cambria Math"/>
              <a:cs typeface="+mn-cs"/>
            </a:rPr>
            <a:t>≈−1/2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𝛤</a:t>
          </a:r>
          <a:r>
            <a:rPr lang="en-US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𝑆</a:t>
          </a:r>
          <a:r>
            <a:rPr lang="el-GR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^</a:t>
          </a:r>
          <a:r>
            <a:rPr lang="en-US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2</a:t>
          </a:r>
          <a:r>
            <a:rPr lang="el-GR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 𝜎^</a:t>
          </a:r>
          <a:r>
            <a:rPr lang="en-US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2</a:t>
          </a:r>
          <a:endParaRPr lang="en-US" sz="1400" b="0">
            <a:solidFill>
              <a:schemeClr val="tx1"/>
            </a:solidFill>
            <a:effectLst/>
            <a:ea typeface="+mn-ea"/>
            <a:cs typeface="+mn-cs"/>
          </a:endParaRPr>
        </a:p>
        <a:p>
          <a:endParaRPr lang="en-US" sz="1400" b="0">
            <a:solidFill>
              <a:schemeClr val="tx1"/>
            </a:solidFill>
            <a:effectLst/>
            <a:ea typeface="+mn-ea"/>
            <a:cs typeface="+mn-cs"/>
          </a:endParaRPr>
        </a:p>
        <a:p>
          <a:r>
            <a:rPr lang="en-US" sz="1400" b="0" i="0">
              <a:latin typeface="Cambria Math"/>
            </a:rPr>
            <a:t>𝐷𝑎𝑖𝑙𝑦 𝑃𝑛𝑙=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1/2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𝛤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(𝑆)^2</a:t>
          </a:r>
          <a:r>
            <a:rPr lang="en-US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 [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∆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𝑆/</a:t>
          </a:r>
          <a:r>
            <a:rPr lang="en-US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𝑆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^2−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𝜎^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∆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𝑡</a:t>
          </a:r>
          <a:r>
            <a:rPr lang="en-US" sz="1400" b="0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] </a:t>
          </a:r>
          <a:r>
            <a:rPr lang="en-US" sz="1400" b="0" i="0">
              <a:latin typeface="Cambria Math"/>
            </a:rPr>
            <a:t> </a:t>
          </a:r>
          <a:endParaRPr lang="en-US" sz="1400"/>
        </a:p>
      </xdr:txBody>
    </xdr:sp>
    <xdr:clientData/>
  </xdr:oneCellAnchor>
  <xdr:twoCellAnchor editAs="oneCell">
    <xdr:from>
      <xdr:col>2</xdr:col>
      <xdr:colOff>600075</xdr:colOff>
      <xdr:row>1</xdr:row>
      <xdr:rowOff>19050</xdr:rowOff>
    </xdr:from>
    <xdr:to>
      <xdr:col>7</xdr:col>
      <xdr:colOff>190500</xdr:colOff>
      <xdr:row>2</xdr:row>
      <xdr:rowOff>95250</xdr:rowOff>
    </xdr:to>
    <xdr:pic>
      <xdr:nvPicPr>
        <xdr:cNvPr id="3" name="Picture 2" descr="C(S,t)=N(d_{1})~S-N(d_{2})~K e^{-r(T-t)}\,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647700"/>
          <a:ext cx="30194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333375</xdr:colOff>
      <xdr:row>3</xdr:row>
      <xdr:rowOff>85725</xdr:rowOff>
    </xdr:from>
    <xdr:to>
      <xdr:col>3</xdr:col>
      <xdr:colOff>628650</xdr:colOff>
      <xdr:row>6</xdr:row>
      <xdr:rowOff>104775</xdr:rowOff>
    </xdr:to>
    <xdr:pic>
      <xdr:nvPicPr>
        <xdr:cNvPr id="4" name="Picture 3" descr="d_{1}=\frac{\ln(\frac{S}{K})+(r+\frac{\sigma^{2}}{2})(T-t)}{\sigma\sqrt{T-t}}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038225"/>
          <a:ext cx="23526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438150</xdr:colOff>
      <xdr:row>3</xdr:row>
      <xdr:rowOff>76200</xdr:rowOff>
    </xdr:from>
    <xdr:to>
      <xdr:col>8</xdr:col>
      <xdr:colOff>57150</xdr:colOff>
      <xdr:row>6</xdr:row>
      <xdr:rowOff>95250</xdr:rowOff>
    </xdr:to>
    <xdr:pic>
      <xdr:nvPicPr>
        <xdr:cNvPr id="5" name="Picture 4" descr="d_{2}=\frac{\ln(\frac{S}{K})+(r-\frac{\sigma^{2}}{2})(T-t)}{\sigma\sqrt{T-t}}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1028700"/>
          <a:ext cx="23622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676275</xdr:colOff>
      <xdr:row>9</xdr:row>
      <xdr:rowOff>114300</xdr:rowOff>
    </xdr:from>
    <xdr:to>
      <xdr:col>2</xdr:col>
      <xdr:colOff>466725</xdr:colOff>
      <xdr:row>10</xdr:row>
      <xdr:rowOff>152400</xdr:rowOff>
    </xdr:to>
    <xdr:pic>
      <xdr:nvPicPr>
        <xdr:cNvPr id="6" name="Picture 5" descr="N(d_1)\,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73355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561975</xdr:colOff>
      <xdr:row>9</xdr:row>
      <xdr:rowOff>47625</xdr:rowOff>
    </xdr:from>
    <xdr:to>
      <xdr:col>5</xdr:col>
      <xdr:colOff>28575</xdr:colOff>
      <xdr:row>12</xdr:row>
      <xdr:rowOff>28575</xdr:rowOff>
    </xdr:to>
    <xdr:pic>
      <xdr:nvPicPr>
        <xdr:cNvPr id="7" name="Picture 6" descr="\frac{N'(d_1)}{S\sigma\sqrt{T-t}}\,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666875"/>
          <a:ext cx="8382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9</xdr:col>
      <xdr:colOff>466725</xdr:colOff>
      <xdr:row>11</xdr:row>
      <xdr:rowOff>142875</xdr:rowOff>
    </xdr:to>
    <xdr:pic>
      <xdr:nvPicPr>
        <xdr:cNvPr id="8" name="Picture 7" descr="-\frac{S N'(d_1) \sigma}{2 \sqrt{T-t}}-rKe^{-r(T-t)}N(d_2)\,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619250"/>
          <a:ext cx="25241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29</xdr:row>
      <xdr:rowOff>139700</xdr:rowOff>
    </xdr:from>
    <xdr:to>
      <xdr:col>21</xdr:col>
      <xdr:colOff>25400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30</xdr:row>
      <xdr:rowOff>25400</xdr:rowOff>
    </xdr:from>
    <xdr:to>
      <xdr:col>14</xdr:col>
      <xdr:colOff>482600</xdr:colOff>
      <xdr:row>46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85724</xdr:rowOff>
    </xdr:from>
    <xdr:to>
      <xdr:col>7</xdr:col>
      <xdr:colOff>276225</xdr:colOff>
      <xdr:row>46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29</xdr:row>
      <xdr:rowOff>139700</xdr:rowOff>
    </xdr:from>
    <xdr:to>
      <xdr:col>21</xdr:col>
      <xdr:colOff>228600</xdr:colOff>
      <xdr:row>46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30</xdr:row>
      <xdr:rowOff>25400</xdr:rowOff>
    </xdr:from>
    <xdr:to>
      <xdr:col>14</xdr:col>
      <xdr:colOff>482600</xdr:colOff>
      <xdr:row>46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30</xdr:row>
      <xdr:rowOff>22224</xdr:rowOff>
    </xdr:from>
    <xdr:to>
      <xdr:col>7</xdr:col>
      <xdr:colOff>327025</xdr:colOff>
      <xdr:row>45</xdr:row>
      <xdr:rowOff>139699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29</xdr:row>
      <xdr:rowOff>139700</xdr:rowOff>
    </xdr:from>
    <xdr:to>
      <xdr:col>12</xdr:col>
      <xdr:colOff>25400</xdr:colOff>
      <xdr:row>46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736599</xdr:colOff>
      <xdr:row>31</xdr:row>
      <xdr:rowOff>101600</xdr:rowOff>
    </xdr:from>
    <xdr:to>
      <xdr:col>13</xdr:col>
      <xdr:colOff>571500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85724</xdr:rowOff>
    </xdr:from>
    <xdr:to>
      <xdr:col>7</xdr:col>
      <xdr:colOff>276225</xdr:colOff>
      <xdr:row>46</xdr:row>
      <xdr:rowOff>38099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29</xdr:row>
      <xdr:rowOff>139700</xdr:rowOff>
    </xdr:from>
    <xdr:to>
      <xdr:col>12</xdr:col>
      <xdr:colOff>25400</xdr:colOff>
      <xdr:row>46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660399</xdr:colOff>
      <xdr:row>30</xdr:row>
      <xdr:rowOff>101600</xdr:rowOff>
    </xdr:from>
    <xdr:to>
      <xdr:col>13</xdr:col>
      <xdr:colOff>495300</xdr:colOff>
      <xdr:row>47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85724</xdr:rowOff>
    </xdr:from>
    <xdr:to>
      <xdr:col>7</xdr:col>
      <xdr:colOff>276225</xdr:colOff>
      <xdr:row>46</xdr:row>
      <xdr:rowOff>38099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finance.org.cn/cn/FEshuo/The%20Pricing%20of%20Options%20and%20Corporate%20Liabilities.pdf" TargetMode="External"/><Relationship Id="rId2" Type="http://schemas.openxmlformats.org/officeDocument/2006/relationships/hyperlink" Target="http://www.ederman.com/new/docs/gs-volatility_swaps.pdf" TargetMode="External"/><Relationship Id="rId1" Type="http://schemas.openxmlformats.org/officeDocument/2006/relationships/hyperlink" Target="http://math.uchicago.edu/~sbossu/VarSwaps.pdf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signallake.com/innovation/MertonBJEMS73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/>
  <dimension ref="A1:K39"/>
  <sheetViews>
    <sheetView tabSelected="1" workbookViewId="0">
      <selection sqref="A1:K1"/>
    </sheetView>
  </sheetViews>
  <sheetFormatPr defaultColWidth="8.75" defaultRowHeight="12.75" x14ac:dyDescent="0.2"/>
  <sheetData>
    <row r="1" spans="1:11" ht="19.5" x14ac:dyDescent="0.25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">
      <c r="A2" s="26" t="s">
        <v>21</v>
      </c>
    </row>
    <row r="9" spans="1:11" x14ac:dyDescent="0.2">
      <c r="A9" s="26" t="s">
        <v>22</v>
      </c>
      <c r="C9" s="25" t="s">
        <v>23</v>
      </c>
      <c r="D9" s="25"/>
      <c r="E9" s="25" t="s">
        <v>16</v>
      </c>
      <c r="F9" s="25"/>
      <c r="G9" s="25" t="s">
        <v>24</v>
      </c>
    </row>
    <row r="15" spans="1:11" x14ac:dyDescent="0.2">
      <c r="A15" s="26" t="s">
        <v>25</v>
      </c>
    </row>
    <row r="16" spans="1:11" x14ac:dyDescent="0.2">
      <c r="B16" s="23" t="s">
        <v>26</v>
      </c>
    </row>
    <row r="17" spans="1:2" x14ac:dyDescent="0.2">
      <c r="B17" s="23" t="s">
        <v>27</v>
      </c>
    </row>
    <row r="18" spans="1:2" x14ac:dyDescent="0.2">
      <c r="B18" s="23" t="s">
        <v>28</v>
      </c>
    </row>
    <row r="20" spans="1:2" x14ac:dyDescent="0.2">
      <c r="A20" s="26" t="s">
        <v>29</v>
      </c>
    </row>
    <row r="31" spans="1:2" x14ac:dyDescent="0.2">
      <c r="A31" s="26" t="s">
        <v>36</v>
      </c>
    </row>
    <row r="32" spans="1:2" x14ac:dyDescent="0.2">
      <c r="A32" s="23" t="s">
        <v>30</v>
      </c>
    </row>
    <row r="33" spans="1:2" x14ac:dyDescent="0.2">
      <c r="B33" s="24" t="s">
        <v>31</v>
      </c>
    </row>
    <row r="34" spans="1:2" x14ac:dyDescent="0.2">
      <c r="A34" s="23" t="s">
        <v>37</v>
      </c>
    </row>
    <row r="35" spans="1:2" x14ac:dyDescent="0.2">
      <c r="B35" s="24" t="s">
        <v>32</v>
      </c>
    </row>
    <row r="36" spans="1:2" x14ac:dyDescent="0.2">
      <c r="A36" s="23" t="s">
        <v>19</v>
      </c>
    </row>
    <row r="37" spans="1:2" x14ac:dyDescent="0.2">
      <c r="B37" s="24" t="s">
        <v>18</v>
      </c>
    </row>
    <row r="38" spans="1:2" x14ac:dyDescent="0.2">
      <c r="A38" s="23" t="s">
        <v>20</v>
      </c>
    </row>
    <row r="39" spans="1:2" x14ac:dyDescent="0.2">
      <c r="B39" s="24" t="s">
        <v>17</v>
      </c>
    </row>
  </sheetData>
  <mergeCells count="1">
    <mergeCell ref="A1:K1"/>
  </mergeCells>
  <phoneticPr fontId="4" type="noConversion"/>
  <hyperlinks>
    <hyperlink ref="B39" r:id="rId1"/>
    <hyperlink ref="B37" r:id="rId2"/>
    <hyperlink ref="B33" r:id="rId3"/>
    <hyperlink ref="B35" r:id="rId4"/>
  </hyperlinks>
  <pageMargins left="0.7" right="0.7" top="0.75" bottom="0.75" header="0.3" footer="0.3"/>
  <drawing r:id="rId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 enableFormatConditionsCalculation="0"/>
  <dimension ref="B1:W29"/>
  <sheetViews>
    <sheetView workbookViewId="0"/>
  </sheetViews>
  <sheetFormatPr defaultColWidth="11" defaultRowHeight="12.75" x14ac:dyDescent="0.2"/>
  <cols>
    <col min="3" max="11" width="8.25" customWidth="1"/>
    <col min="12" max="12" width="2.25" customWidth="1"/>
    <col min="13" max="21" width="8.125" customWidth="1"/>
  </cols>
  <sheetData>
    <row r="1" spans="2:23" ht="13.5" thickBot="1" x14ac:dyDescent="0.25"/>
    <row r="2" spans="2:23" x14ac:dyDescent="0.2">
      <c r="B2" s="8" t="s">
        <v>7</v>
      </c>
      <c r="C2" s="9">
        <v>0.05</v>
      </c>
      <c r="F2">
        <f>STDEV(W10:W29)</f>
        <v>0.11883757409843478</v>
      </c>
      <c r="G2">
        <f>SQRT(1/0.005)</f>
        <v>14.142135623730951</v>
      </c>
      <c r="H2">
        <f>G2*F2</f>
        <v>1.6806170900952411</v>
      </c>
    </row>
    <row r="3" spans="2:23" x14ac:dyDescent="0.2">
      <c r="B3" s="10" t="s">
        <v>8</v>
      </c>
      <c r="C3" s="11">
        <v>0.3</v>
      </c>
    </row>
    <row r="4" spans="2:23" x14ac:dyDescent="0.2">
      <c r="B4" s="10" t="s">
        <v>0</v>
      </c>
      <c r="C4" s="11">
        <v>100</v>
      </c>
    </row>
    <row r="5" spans="2:23" ht="13.5" thickBot="1" x14ac:dyDescent="0.25">
      <c r="B5" s="12" t="s">
        <v>1</v>
      </c>
      <c r="C5" s="13">
        <v>1</v>
      </c>
    </row>
    <row r="6" spans="2:23" x14ac:dyDescent="0.2">
      <c r="B6" s="1"/>
      <c r="C6" s="1"/>
    </row>
    <row r="7" spans="2:23" ht="13.5" thickBot="1" x14ac:dyDescent="0.25">
      <c r="B7" s="33" t="s">
        <v>15</v>
      </c>
      <c r="C7" s="33"/>
      <c r="D7" s="33"/>
      <c r="E7" s="33"/>
      <c r="F7" s="33"/>
      <c r="G7" s="33"/>
      <c r="H7" s="33"/>
      <c r="I7" s="33"/>
      <c r="J7" s="33"/>
      <c r="K7" s="33"/>
      <c r="M7" s="33" t="s">
        <v>14</v>
      </c>
      <c r="N7" s="33"/>
      <c r="O7" s="33"/>
      <c r="P7" s="33"/>
      <c r="Q7" s="33"/>
      <c r="R7" s="33"/>
      <c r="S7" s="33"/>
      <c r="T7" s="33"/>
      <c r="U7" s="33"/>
    </row>
    <row r="8" spans="2:23" ht="13.5" thickBot="1" x14ac:dyDescent="0.25">
      <c r="B8" s="17" t="s">
        <v>2</v>
      </c>
      <c r="C8" s="18" t="s">
        <v>3</v>
      </c>
      <c r="D8" s="7" t="s">
        <v>4</v>
      </c>
      <c r="E8" s="7" t="s">
        <v>16</v>
      </c>
      <c r="F8" s="7" t="s">
        <v>6</v>
      </c>
      <c r="G8" s="7" t="s">
        <v>5</v>
      </c>
      <c r="H8" s="7" t="s">
        <v>9</v>
      </c>
      <c r="I8" s="7" t="s">
        <v>11</v>
      </c>
      <c r="J8" s="7" t="s">
        <v>10</v>
      </c>
      <c r="K8" s="14" t="s">
        <v>13</v>
      </c>
      <c r="M8" s="17" t="s">
        <v>2</v>
      </c>
      <c r="N8" s="18" t="s">
        <v>3</v>
      </c>
      <c r="O8" s="7" t="s">
        <v>4</v>
      </c>
      <c r="P8" s="7" t="s">
        <v>6</v>
      </c>
      <c r="Q8" s="7" t="s">
        <v>5</v>
      </c>
      <c r="R8" s="7" t="s">
        <v>9</v>
      </c>
      <c r="S8" s="7" t="s">
        <v>11</v>
      </c>
      <c r="T8" s="7" t="s">
        <v>10</v>
      </c>
      <c r="U8" s="14" t="s">
        <v>12</v>
      </c>
    </row>
    <row r="9" spans="2:23" x14ac:dyDescent="0.2">
      <c r="B9" s="19">
        <v>0</v>
      </c>
      <c r="C9" s="20">
        <v>100</v>
      </c>
      <c r="D9" s="2">
        <f>100*NORMDIST((LN($C9/$C$4)+($C$2+($C$3^2)/2)*($C$5-$B9))/($C$3*SQRT($C$5-$B9)),0,1,TRUE)</f>
        <v>62.425172790601245</v>
      </c>
      <c r="E9" s="2">
        <f>100*NORMDIST((LN($C9/$C$4)+($C$2+($C$3^2)/2)*($C$5-$B9))/($C$3*SQRT($C$5-$B9)),0,1,FALSE)*($C9*$C$3*SQRT($C$5-$B9))</f>
        <v>1138.2987993508359</v>
      </c>
      <c r="F9" s="2">
        <f>-D9</f>
        <v>-62.425172790601245</v>
      </c>
      <c r="G9" s="2">
        <f>SUM(F$9:F9)</f>
        <v>-62.425172790601245</v>
      </c>
      <c r="H9" s="3">
        <f>G9+D9</f>
        <v>0</v>
      </c>
      <c r="I9" s="1">
        <f>G9*C9-SUMPRODUCT(C$9:C9,F$9:F9)</f>
        <v>0</v>
      </c>
      <c r="J9" s="2">
        <f>100*($C9*NORMDIST((LN($C9/$C$4)+($C$2+($C$3^2)/2)*($C$5-$B9))/($C$3*SQRT($C$5-$B9)),0,1,TRUE)-$C$4*EXP(-$C$2)*NORMDIST((LN($C9/$C$4)+($C$2-($C$3^2)/2)*($C$5-$B9))/($C$3*SQRT($C$5-$B9)),0,1,TRUE))</f>
        <v>1423.1254785985818</v>
      </c>
      <c r="K9" s="15">
        <f>I9+J9-$J$9</f>
        <v>0</v>
      </c>
      <c r="M9" s="19">
        <v>0</v>
      </c>
      <c r="N9" s="20">
        <v>100</v>
      </c>
      <c r="O9" s="2">
        <f>100*NORMDIST((LN($N9/$C$4)+($C$2+($C$3^2)/2)*($C$5-$M9))/($C$3*SQRT($C$5-$M9)),0,1,TRUE)</f>
        <v>62.425172790601245</v>
      </c>
      <c r="P9" s="2">
        <f>-O9</f>
        <v>-62.425172790601245</v>
      </c>
      <c r="Q9" s="2">
        <f>SUM(P$9:P9)</f>
        <v>-62.425172790601245</v>
      </c>
      <c r="R9" s="3">
        <f>Q9+O9</f>
        <v>0</v>
      </c>
      <c r="S9" s="1">
        <f>Q9*N9-SUMPRODUCT(N$9:N9,P$9:P9)</f>
        <v>0</v>
      </c>
      <c r="T9" s="2">
        <f>100*($N9*NORMDIST((LN($N9/$C$4)+($C$2+($C$3^2)/2)*($C$5-$M9))/($C$3*SQRT($C$5-$M9)),0,1,TRUE)-$C$4*EXP(-$C$2)*NORMDIST((LN($N9/$C$4)+($C$2-($C$3^2)/2)*($C$5-$M9))/($C$3*SQRT($C$5-$M9)),0,1,TRUE))</f>
        <v>1423.1254785985818</v>
      </c>
      <c r="U9" s="15">
        <f>S9+T9-$J$9</f>
        <v>0</v>
      </c>
    </row>
    <row r="10" spans="2:23" x14ac:dyDescent="0.2">
      <c r="B10" s="19">
        <v>5.0000000000000001E-3</v>
      </c>
      <c r="C10" s="20">
        <v>110</v>
      </c>
      <c r="D10" s="2">
        <f t="shared" ref="D10:D29" si="0">100*NORMDIST((LN($C10/$C$4)+($C$2+($C$3^2)/2)*($C$5-$B10))/($C$3*SQRT($C$5-$B10)),0,1,TRUE)</f>
        <v>73.708091180631584</v>
      </c>
      <c r="E10" s="2">
        <f t="shared" ref="E10:E29" si="1">100*NORMDIST((LN($C10/$C$4)+($C$2+($C$3^2)/2)*($C$5-$B10))/($C$3*SQRT($C$5-$B10)),0,1,FALSE)*($C10*$C$3*SQRT($C$5-$B10))</f>
        <v>1073.864519612154</v>
      </c>
      <c r="F10" s="2">
        <f>-(D10-D9)</f>
        <v>-11.282918390030339</v>
      </c>
      <c r="G10" s="2">
        <f>SUM(F$9:F10)</f>
        <v>-73.708091180631584</v>
      </c>
      <c r="H10" s="3">
        <f t="shared" ref="H10:H29" si="2">G10+D10</f>
        <v>0</v>
      </c>
      <c r="I10" s="1">
        <f>G10*C10-SUMPRODUCT(C$9:C10,F$9:F10)</f>
        <v>-624.251727906013</v>
      </c>
      <c r="J10" s="2">
        <f t="shared" ref="J10:J29" si="3">100*($C10*NORMDIST((LN($C10/$C$4)+($C$2+($C$3^2)/2)*($C$5-$B10))/($C$3*SQRT($C$5-$B10)),0,1,TRUE)-$C$4*EXP(-$C$2)*NORMDIST((LN($C10/$C$4)+($C$2-($C$3^2)/2)*($C$5-$B10))/($C$3*SQRT($C$5-$B10)),0,1,TRUE))</f>
        <v>2103.4086831776094</v>
      </c>
      <c r="K10" s="15">
        <f t="shared" ref="K10:K29" si="4">I10+J10-$J$9</f>
        <v>56.031476673014595</v>
      </c>
      <c r="M10" s="19">
        <v>0</v>
      </c>
      <c r="N10" s="20">
        <v>100</v>
      </c>
      <c r="O10" s="2">
        <f t="shared" ref="O10:O29" si="5">100*NORMDIST((LN($N10/$C$4)+($C$2+($C$3^2)/2)*($C$5-$M10))/($C$3*SQRT($C$5-$M10)),0,1,TRUE)</f>
        <v>62.425172790601245</v>
      </c>
      <c r="P10" s="2">
        <f>-(O10-O9)</f>
        <v>0</v>
      </c>
      <c r="Q10" s="2">
        <f>SUM(P$9:P10)</f>
        <v>-62.425172790601245</v>
      </c>
      <c r="R10" s="3">
        <f t="shared" ref="R10:R29" si="6">Q10+O10</f>
        <v>0</v>
      </c>
      <c r="S10" s="1">
        <f>Q10*N10-SUMPRODUCT(N$9:N10,P$9:P10)</f>
        <v>0</v>
      </c>
      <c r="T10" s="2">
        <f t="shared" ref="T10:T29" si="7">100*($N10*NORMDIST((LN($N10/$C$4)+($C$2+($C$3^2)/2)*($C$5-$M10))/($C$3*SQRT($C$5-$M10)),0,1,TRUE)-$C$4*EXP(-$C$2)*NORMDIST((LN($N10/$C$4)+($C$2-($C$3^2)/2)*($C$5-$M10))/($C$3*SQRT($C$5-$M10)),0,1,TRUE))</f>
        <v>1423.1254785985818</v>
      </c>
      <c r="U10" s="15">
        <f t="shared" ref="U10:U29" si="8">S10+T10-$J$9</f>
        <v>0</v>
      </c>
      <c r="W10">
        <f>C10/C9-1</f>
        <v>0.10000000000000009</v>
      </c>
    </row>
    <row r="11" spans="2:23" x14ac:dyDescent="0.2">
      <c r="B11" s="19">
        <v>0.01</v>
      </c>
      <c r="C11" s="20">
        <v>120</v>
      </c>
      <c r="D11" s="2">
        <f t="shared" si="0"/>
        <v>82.274571055891272</v>
      </c>
      <c r="E11" s="2">
        <f t="shared" si="1"/>
        <v>930.85074799935103</v>
      </c>
      <c r="F11" s="2">
        <f t="shared" ref="F11:F29" si="9">-(D11-D10)</f>
        <v>-8.566479875259688</v>
      </c>
      <c r="G11" s="2">
        <f>SUM(F$9:F11)</f>
        <v>-82.274571055891272</v>
      </c>
      <c r="H11" s="3">
        <f t="shared" si="2"/>
        <v>0</v>
      </c>
      <c r="I11" s="1">
        <f>G11*C11-SUMPRODUCT(C$9:C11,F$9:F11)</f>
        <v>-1361.3326397123292</v>
      </c>
      <c r="J11" s="2">
        <f t="shared" si="3"/>
        <v>2883.3527558938258</v>
      </c>
      <c r="K11" s="15">
        <f t="shared" si="4"/>
        <v>98.894637582914811</v>
      </c>
      <c r="M11" s="19">
        <v>0</v>
      </c>
      <c r="N11" s="20">
        <v>100</v>
      </c>
      <c r="O11" s="2">
        <f t="shared" si="5"/>
        <v>62.425172790601245</v>
      </c>
      <c r="P11" s="2">
        <f t="shared" ref="P11:P29" si="10">-(O11-O10)</f>
        <v>0</v>
      </c>
      <c r="Q11" s="2">
        <f>SUM(P$9:P11)</f>
        <v>-62.425172790601245</v>
      </c>
      <c r="R11" s="3">
        <f t="shared" si="6"/>
        <v>0</v>
      </c>
      <c r="S11" s="1">
        <f>Q11*N11-SUMPRODUCT(N$9:N11,P$9:P11)</f>
        <v>0</v>
      </c>
      <c r="T11" s="2">
        <f t="shared" si="7"/>
        <v>1423.1254785985818</v>
      </c>
      <c r="U11" s="15">
        <f t="shared" si="8"/>
        <v>0</v>
      </c>
      <c r="W11">
        <f t="shared" ref="W11:W29" si="11">C11/C10-1</f>
        <v>9.0909090909090828E-2</v>
      </c>
    </row>
    <row r="12" spans="2:23" x14ac:dyDescent="0.2">
      <c r="B12" s="19">
        <v>1.4999999999999999E-2</v>
      </c>
      <c r="C12" s="20">
        <v>130</v>
      </c>
      <c r="D12" s="2">
        <f t="shared" si="0"/>
        <v>88.40471173883418</v>
      </c>
      <c r="E12" s="2">
        <f t="shared" si="1"/>
        <v>755.71876710456411</v>
      </c>
      <c r="F12" s="2">
        <f t="shared" si="9"/>
        <v>-6.1301406829429084</v>
      </c>
      <c r="G12" s="2">
        <f>SUM(F$9:F12)</f>
        <v>-88.40471173883418</v>
      </c>
      <c r="H12" s="3">
        <f t="shared" si="2"/>
        <v>0</v>
      </c>
      <c r="I12" s="1">
        <f>G12*C12-SUMPRODUCT(C$9:C12,F$9:F12)</f>
        <v>-2184.0783502712438</v>
      </c>
      <c r="J12" s="2">
        <f t="shared" si="3"/>
        <v>3736.9226093269658</v>
      </c>
      <c r="K12" s="15">
        <f t="shared" si="4"/>
        <v>129.71878045714016</v>
      </c>
      <c r="M12" s="19">
        <v>0</v>
      </c>
      <c r="N12" s="20">
        <v>100</v>
      </c>
      <c r="O12" s="2">
        <f t="shared" si="5"/>
        <v>62.425172790601245</v>
      </c>
      <c r="P12" s="2">
        <f t="shared" si="10"/>
        <v>0</v>
      </c>
      <c r="Q12" s="2">
        <f>SUM(P$9:P12)</f>
        <v>-62.425172790601245</v>
      </c>
      <c r="R12" s="3">
        <f t="shared" si="6"/>
        <v>0</v>
      </c>
      <c r="S12" s="1">
        <f>Q12*N12-SUMPRODUCT(N$9:N12,P$9:P12)</f>
        <v>0</v>
      </c>
      <c r="T12" s="2">
        <f t="shared" si="7"/>
        <v>1423.1254785985818</v>
      </c>
      <c r="U12" s="15">
        <f t="shared" si="8"/>
        <v>0</v>
      </c>
      <c r="W12">
        <f t="shared" si="11"/>
        <v>8.3333333333333259E-2</v>
      </c>
    </row>
    <row r="13" spans="2:23" x14ac:dyDescent="0.2">
      <c r="B13" s="19">
        <v>0.02</v>
      </c>
      <c r="C13" s="20">
        <v>140</v>
      </c>
      <c r="D13" s="2">
        <f t="shared" si="0"/>
        <v>92.59737803781988</v>
      </c>
      <c r="E13" s="2">
        <f t="shared" si="1"/>
        <v>582.71511113680663</v>
      </c>
      <c r="F13" s="2">
        <f t="shared" si="9"/>
        <v>-4.1926662989856993</v>
      </c>
      <c r="G13" s="2">
        <f>SUM(F$9:F13)</f>
        <v>-92.59737803781988</v>
      </c>
      <c r="H13" s="3">
        <f t="shared" si="2"/>
        <v>0</v>
      </c>
      <c r="I13" s="1">
        <f>G13*C13-SUMPRODUCT(C$9:C13,F$9:F13)</f>
        <v>-3068.1254676595854</v>
      </c>
      <c r="J13" s="2">
        <f t="shared" si="3"/>
        <v>4642.1176639408759</v>
      </c>
      <c r="K13" s="15">
        <f t="shared" si="4"/>
        <v>150.86671768270867</v>
      </c>
      <c r="M13" s="19">
        <v>0</v>
      </c>
      <c r="N13" s="20">
        <v>100</v>
      </c>
      <c r="O13" s="2">
        <f t="shared" si="5"/>
        <v>62.425172790601245</v>
      </c>
      <c r="P13" s="2">
        <f t="shared" si="10"/>
        <v>0</v>
      </c>
      <c r="Q13" s="2">
        <f>SUM(P$9:P13)</f>
        <v>-62.425172790601245</v>
      </c>
      <c r="R13" s="3">
        <f t="shared" si="6"/>
        <v>0</v>
      </c>
      <c r="S13" s="1">
        <f>Q13*N13-SUMPRODUCT(N$9:N13,P$9:P13)</f>
        <v>0</v>
      </c>
      <c r="T13" s="2">
        <f t="shared" si="7"/>
        <v>1423.1254785985818</v>
      </c>
      <c r="U13" s="15">
        <f t="shared" si="8"/>
        <v>0</v>
      </c>
      <c r="W13">
        <f t="shared" si="11"/>
        <v>7.6923076923076872E-2</v>
      </c>
    </row>
    <row r="14" spans="2:23" x14ac:dyDescent="0.2">
      <c r="B14" s="19">
        <v>2.5000000000000001E-2</v>
      </c>
      <c r="C14" s="20">
        <v>150</v>
      </c>
      <c r="D14" s="2">
        <f t="shared" si="0"/>
        <v>95.366237878001613</v>
      </c>
      <c r="E14" s="2">
        <f t="shared" si="1"/>
        <v>431.21016988831968</v>
      </c>
      <c r="F14" s="2">
        <f t="shared" si="9"/>
        <v>-2.768859840181733</v>
      </c>
      <c r="G14" s="2">
        <f>SUM(F$9:F14)</f>
        <v>-95.366237878001613</v>
      </c>
      <c r="H14" s="3">
        <f t="shared" si="2"/>
        <v>0</v>
      </c>
      <c r="I14" s="1">
        <f>G14*C14-SUMPRODUCT(C$9:C14,F$9:F14)</f>
        <v>-3994.0992480377845</v>
      </c>
      <c r="J14" s="2">
        <f t="shared" si="3"/>
        <v>5582.083837593208</v>
      </c>
      <c r="K14" s="15">
        <f t="shared" si="4"/>
        <v>164.85911095684173</v>
      </c>
      <c r="M14" s="19">
        <v>2.5000000000000001E-2</v>
      </c>
      <c r="N14" s="20">
        <v>150</v>
      </c>
      <c r="O14" s="2">
        <f t="shared" si="5"/>
        <v>95.366237878001613</v>
      </c>
      <c r="P14" s="2">
        <f t="shared" si="10"/>
        <v>-32.941065087400368</v>
      </c>
      <c r="Q14" s="2">
        <f>SUM(P$9:P14)</f>
        <v>-95.366237878001613</v>
      </c>
      <c r="R14" s="3">
        <f t="shared" si="6"/>
        <v>0</v>
      </c>
      <c r="S14" s="1">
        <f>Q14*N14-SUMPRODUCT(N$9:N14,P$9:P14)</f>
        <v>-3121.2586395300623</v>
      </c>
      <c r="T14" s="2">
        <f t="shared" si="7"/>
        <v>5582.083837593208</v>
      </c>
      <c r="U14" s="15">
        <f t="shared" si="8"/>
        <v>1037.6997194645639</v>
      </c>
      <c r="W14">
        <f t="shared" si="11"/>
        <v>7.1428571428571397E-2</v>
      </c>
    </row>
    <row r="15" spans="2:23" x14ac:dyDescent="0.2">
      <c r="B15" s="19">
        <v>0.03</v>
      </c>
      <c r="C15" s="20">
        <v>140</v>
      </c>
      <c r="D15" s="2">
        <f t="shared" si="0"/>
        <v>92.656362329284477</v>
      </c>
      <c r="E15" s="2">
        <f t="shared" si="1"/>
        <v>576.20012987242626</v>
      </c>
      <c r="F15" s="2">
        <f t="shared" si="9"/>
        <v>2.709875548717136</v>
      </c>
      <c r="G15" s="2">
        <f>SUM(F$9:F15)</f>
        <v>-92.656362329284477</v>
      </c>
      <c r="H15" s="3">
        <f t="shared" si="2"/>
        <v>0</v>
      </c>
      <c r="I15" s="1">
        <f>G15*C15-SUMPRODUCT(C$9:C15,F$9:F15)</f>
        <v>-3040.4368692577682</v>
      </c>
      <c r="J15" s="2">
        <f t="shared" si="3"/>
        <v>4639.1601058307169</v>
      </c>
      <c r="K15" s="15">
        <f t="shared" si="4"/>
        <v>175.59775797436691</v>
      </c>
      <c r="M15" s="19">
        <v>2.5000000000000001E-2</v>
      </c>
      <c r="N15" s="20">
        <v>150</v>
      </c>
      <c r="O15" s="2">
        <f t="shared" si="5"/>
        <v>95.366237878001613</v>
      </c>
      <c r="P15" s="2">
        <f t="shared" si="10"/>
        <v>0</v>
      </c>
      <c r="Q15" s="2">
        <f>SUM(P$9:P15)</f>
        <v>-95.366237878001613</v>
      </c>
      <c r="R15" s="3">
        <f t="shared" si="6"/>
        <v>0</v>
      </c>
      <c r="S15" s="1">
        <f>Q15*N15-SUMPRODUCT(N$9:N15,P$9:P15)</f>
        <v>-3121.2586395300623</v>
      </c>
      <c r="T15" s="2">
        <f t="shared" si="7"/>
        <v>5582.083837593208</v>
      </c>
      <c r="U15" s="15">
        <f t="shared" si="8"/>
        <v>1037.6997194645639</v>
      </c>
      <c r="W15">
        <f t="shared" si="11"/>
        <v>-6.6666666666666652E-2</v>
      </c>
    </row>
    <row r="16" spans="2:23" x14ac:dyDescent="0.2">
      <c r="B16" s="19">
        <v>3.5000000000000003E-2</v>
      </c>
      <c r="C16" s="20">
        <v>130</v>
      </c>
      <c r="D16" s="2">
        <f t="shared" si="0"/>
        <v>88.519064137962417</v>
      </c>
      <c r="E16" s="2">
        <f t="shared" si="1"/>
        <v>742.75695809440731</v>
      </c>
      <c r="F16" s="2">
        <f t="shared" si="9"/>
        <v>4.1372981913220599</v>
      </c>
      <c r="G16" s="2">
        <f>SUM(F$9:F16)</f>
        <v>-88.519064137962417</v>
      </c>
      <c r="H16" s="3">
        <f t="shared" si="2"/>
        <v>0</v>
      </c>
      <c r="I16" s="1">
        <f>G16*C16-SUMPRODUCT(C$9:C16,F$9:F16)</f>
        <v>-2113.8732459649218</v>
      </c>
      <c r="J16" s="2">
        <f t="shared" si="3"/>
        <v>3729.266136587657</v>
      </c>
      <c r="K16" s="15">
        <f t="shared" si="4"/>
        <v>192.26741202415337</v>
      </c>
      <c r="M16" s="19">
        <v>2.5000000000000001E-2</v>
      </c>
      <c r="N16" s="20">
        <v>150</v>
      </c>
      <c r="O16" s="2">
        <f t="shared" si="5"/>
        <v>95.366237878001613</v>
      </c>
      <c r="P16" s="2">
        <f t="shared" si="10"/>
        <v>0</v>
      </c>
      <c r="Q16" s="2">
        <f>SUM(P$9:P16)</f>
        <v>-95.366237878001613</v>
      </c>
      <c r="R16" s="3">
        <f t="shared" si="6"/>
        <v>0</v>
      </c>
      <c r="S16" s="1">
        <f>Q16*N16-SUMPRODUCT(N$9:N16,P$9:P16)</f>
        <v>-3121.2586395300623</v>
      </c>
      <c r="T16" s="2">
        <f t="shared" si="7"/>
        <v>5582.083837593208</v>
      </c>
      <c r="U16" s="15">
        <f t="shared" si="8"/>
        <v>1037.6997194645639</v>
      </c>
      <c r="W16">
        <f t="shared" si="11"/>
        <v>-7.1428571428571397E-2</v>
      </c>
    </row>
    <row r="17" spans="2:23" x14ac:dyDescent="0.2">
      <c r="B17" s="19">
        <v>0.04</v>
      </c>
      <c r="C17" s="20">
        <v>120</v>
      </c>
      <c r="D17" s="2">
        <f t="shared" si="0"/>
        <v>82.395401969793653</v>
      </c>
      <c r="E17" s="2">
        <f t="shared" si="1"/>
        <v>912.68240544273203</v>
      </c>
      <c r="F17" s="2">
        <f t="shared" si="9"/>
        <v>6.1236621681687637</v>
      </c>
      <c r="G17" s="2">
        <f>SUM(F$9:F17)</f>
        <v>-82.395401969793653</v>
      </c>
      <c r="H17" s="3">
        <f t="shared" si="2"/>
        <v>0</v>
      </c>
      <c r="I17" s="1">
        <f>G17*C17-SUMPRODUCT(C$9:C17,F$9:F17)</f>
        <v>-1228.6826045852977</v>
      </c>
      <c r="J17" s="2">
        <f t="shared" si="3"/>
        <v>2869.2067849352043</v>
      </c>
      <c r="K17" s="15">
        <f t="shared" si="4"/>
        <v>217.39870175132478</v>
      </c>
      <c r="M17" s="19">
        <v>2.5000000000000001E-2</v>
      </c>
      <c r="N17" s="20">
        <v>150</v>
      </c>
      <c r="O17" s="2">
        <f t="shared" si="5"/>
        <v>95.366237878001613</v>
      </c>
      <c r="P17" s="2">
        <f t="shared" si="10"/>
        <v>0</v>
      </c>
      <c r="Q17" s="2">
        <f>SUM(P$9:P17)</f>
        <v>-95.366237878001613</v>
      </c>
      <c r="R17" s="3">
        <f t="shared" si="6"/>
        <v>0</v>
      </c>
      <c r="S17" s="1">
        <f>Q17*N17-SUMPRODUCT(N$9:N17,P$9:P17)</f>
        <v>-3121.2586395300623</v>
      </c>
      <c r="T17" s="2">
        <f t="shared" si="7"/>
        <v>5582.083837593208</v>
      </c>
      <c r="U17" s="15">
        <f t="shared" si="8"/>
        <v>1037.6997194645639</v>
      </c>
      <c r="W17">
        <f t="shared" si="11"/>
        <v>-7.6923076923076872E-2</v>
      </c>
    </row>
    <row r="18" spans="2:23" x14ac:dyDescent="0.2">
      <c r="B18" s="19">
        <v>4.4999999999999998E-2</v>
      </c>
      <c r="C18" s="20">
        <v>110</v>
      </c>
      <c r="D18" s="2">
        <f t="shared" si="0"/>
        <v>73.714202407219403</v>
      </c>
      <c r="E18" s="2">
        <f t="shared" si="1"/>
        <v>1051.932852124261</v>
      </c>
      <c r="F18" s="2">
        <f t="shared" si="9"/>
        <v>8.6811995625742497</v>
      </c>
      <c r="G18" s="2">
        <f>SUM(F$9:F18)</f>
        <v>-73.714202407219403</v>
      </c>
      <c r="H18" s="3">
        <f t="shared" si="2"/>
        <v>0</v>
      </c>
      <c r="I18" s="1">
        <f>G18*C18-SUMPRODUCT(C$9:C18,F$9:F18)</f>
        <v>-404.72858488736165</v>
      </c>
      <c r="J18" s="2">
        <f t="shared" si="3"/>
        <v>2081.6313543092497</v>
      </c>
      <c r="K18" s="15">
        <f t="shared" si="4"/>
        <v>253.7772908233062</v>
      </c>
      <c r="M18" s="19">
        <v>2.5000000000000001E-2</v>
      </c>
      <c r="N18" s="20">
        <v>150</v>
      </c>
      <c r="O18" s="2">
        <f t="shared" si="5"/>
        <v>95.366237878001613</v>
      </c>
      <c r="P18" s="2">
        <f t="shared" si="10"/>
        <v>0</v>
      </c>
      <c r="Q18" s="2">
        <f>SUM(P$9:P18)</f>
        <v>-95.366237878001613</v>
      </c>
      <c r="R18" s="3">
        <f t="shared" si="6"/>
        <v>0</v>
      </c>
      <c r="S18" s="1">
        <f>Q18*N18-SUMPRODUCT(N$9:N18,P$9:P18)</f>
        <v>-3121.2586395300623</v>
      </c>
      <c r="T18" s="2">
        <f t="shared" si="7"/>
        <v>5582.083837593208</v>
      </c>
      <c r="U18" s="15">
        <f t="shared" si="8"/>
        <v>1037.6997194645639</v>
      </c>
      <c r="W18">
        <f t="shared" si="11"/>
        <v>-8.333333333333337E-2</v>
      </c>
    </row>
    <row r="19" spans="2:23" x14ac:dyDescent="0.2">
      <c r="B19" s="19">
        <v>0.05</v>
      </c>
      <c r="C19" s="20">
        <v>100</v>
      </c>
      <c r="D19" s="2">
        <f t="shared" si="0"/>
        <v>62.120553367476241</v>
      </c>
      <c r="E19" s="2">
        <f t="shared" si="1"/>
        <v>1112.2613151116132</v>
      </c>
      <c r="F19" s="2">
        <f t="shared" si="9"/>
        <v>11.593649039743163</v>
      </c>
      <c r="G19" s="2">
        <f>SUM(F$9:F19)</f>
        <v>-62.120553367476241</v>
      </c>
      <c r="H19" s="3">
        <f t="shared" si="2"/>
        <v>0</v>
      </c>
      <c r="I19" s="1">
        <f>G19*C19-SUMPRODUCT(C$9:C19,F$9:F19)</f>
        <v>332.4134391848329</v>
      </c>
      <c r="J19" s="2">
        <f t="shared" si="3"/>
        <v>1394.2647846102452</v>
      </c>
      <c r="K19" s="15">
        <f t="shared" si="4"/>
        <v>303.55274519649629</v>
      </c>
      <c r="M19" s="19">
        <v>0.05</v>
      </c>
      <c r="N19" s="20">
        <v>100</v>
      </c>
      <c r="O19" s="2">
        <f t="shared" si="5"/>
        <v>62.120553367476241</v>
      </c>
      <c r="P19" s="2">
        <f t="shared" si="10"/>
        <v>33.245684510525372</v>
      </c>
      <c r="Q19" s="2">
        <f>SUM(P$9:P19)</f>
        <v>-62.120553367476241</v>
      </c>
      <c r="R19" s="3">
        <f t="shared" si="6"/>
        <v>0</v>
      </c>
      <c r="S19" s="1">
        <f>Q19*N19-SUMPRODUCT(N$9:N19,P$9:P19)</f>
        <v>1647.0532543700192</v>
      </c>
      <c r="T19" s="2">
        <f t="shared" si="7"/>
        <v>1394.2647846102452</v>
      </c>
      <c r="U19" s="15">
        <f t="shared" si="8"/>
        <v>1618.1925603816828</v>
      </c>
      <c r="W19">
        <f t="shared" si="11"/>
        <v>-9.0909090909090939E-2</v>
      </c>
    </row>
    <row r="20" spans="2:23" x14ac:dyDescent="0.2">
      <c r="B20" s="19">
        <v>5.5E-2</v>
      </c>
      <c r="C20" s="20">
        <v>90</v>
      </c>
      <c r="D20" s="2">
        <f t="shared" si="0"/>
        <v>47.868980650258308</v>
      </c>
      <c r="E20" s="2">
        <f t="shared" si="1"/>
        <v>1045.6095656207194</v>
      </c>
      <c r="F20" s="2">
        <f t="shared" si="9"/>
        <v>14.251572717217933</v>
      </c>
      <c r="G20" s="2">
        <f>SUM(F$9:F20)</f>
        <v>-47.868980650258308</v>
      </c>
      <c r="H20" s="3">
        <f t="shared" si="2"/>
        <v>0</v>
      </c>
      <c r="I20" s="1">
        <f>G20*C20-SUMPRODUCT(C$9:C20,F$9:F20)</f>
        <v>953.61897285959549</v>
      </c>
      <c r="J20" s="2">
        <f t="shared" si="3"/>
        <v>836.04194804492386</v>
      </c>
      <c r="K20" s="15">
        <f t="shared" si="4"/>
        <v>366.53544230593752</v>
      </c>
      <c r="M20" s="19">
        <v>0.05</v>
      </c>
      <c r="N20" s="20">
        <v>100</v>
      </c>
      <c r="O20" s="2">
        <f t="shared" si="5"/>
        <v>62.120553367476241</v>
      </c>
      <c r="P20" s="2">
        <f t="shared" si="10"/>
        <v>0</v>
      </c>
      <c r="Q20" s="2">
        <f>SUM(P$9:P20)</f>
        <v>-62.120553367476241</v>
      </c>
      <c r="R20" s="3">
        <f t="shared" si="6"/>
        <v>0</v>
      </c>
      <c r="S20" s="1">
        <f>Q20*N20-SUMPRODUCT(N$9:N20,P$9:P20)</f>
        <v>1647.0532543700192</v>
      </c>
      <c r="T20" s="2">
        <f t="shared" si="7"/>
        <v>1394.2647846102452</v>
      </c>
      <c r="U20" s="15">
        <f t="shared" si="8"/>
        <v>1618.1925603816828</v>
      </c>
      <c r="W20">
        <f t="shared" si="11"/>
        <v>-9.9999999999999978E-2</v>
      </c>
    </row>
    <row r="21" spans="2:23" x14ac:dyDescent="0.2">
      <c r="B21" s="19">
        <v>0.06</v>
      </c>
      <c r="C21" s="20">
        <v>80</v>
      </c>
      <c r="D21" s="2">
        <f t="shared" si="0"/>
        <v>32.269939501747594</v>
      </c>
      <c r="E21" s="2">
        <f t="shared" si="1"/>
        <v>835.03405466974289</v>
      </c>
      <c r="F21" s="2">
        <f t="shared" si="9"/>
        <v>15.599041148510715</v>
      </c>
      <c r="G21" s="2">
        <f>SUM(F$9:F21)</f>
        <v>-32.269939501747594</v>
      </c>
      <c r="H21" s="3">
        <f t="shared" si="2"/>
        <v>0</v>
      </c>
      <c r="I21" s="1">
        <f>G21*C21-SUMPRODUCT(C$9:C21,F$9:F21)</f>
        <v>1432.3087793621785</v>
      </c>
      <c r="J21" s="2">
        <f t="shared" si="3"/>
        <v>428.78237411146608</v>
      </c>
      <c r="K21" s="15">
        <f t="shared" si="4"/>
        <v>437.96567487506286</v>
      </c>
      <c r="M21" s="19">
        <v>0.05</v>
      </c>
      <c r="N21" s="20">
        <v>100</v>
      </c>
      <c r="O21" s="2">
        <f t="shared" si="5"/>
        <v>62.120553367476241</v>
      </c>
      <c r="P21" s="2">
        <f t="shared" si="10"/>
        <v>0</v>
      </c>
      <c r="Q21" s="2">
        <f>SUM(P$9:P21)</f>
        <v>-62.120553367476241</v>
      </c>
      <c r="R21" s="3">
        <f t="shared" si="6"/>
        <v>0</v>
      </c>
      <c r="S21" s="1">
        <f>Q21*N21-SUMPRODUCT(N$9:N21,P$9:P21)</f>
        <v>1647.0532543700192</v>
      </c>
      <c r="T21" s="2">
        <f t="shared" si="7"/>
        <v>1394.2647846102452</v>
      </c>
      <c r="U21" s="15">
        <f t="shared" si="8"/>
        <v>1618.1925603816828</v>
      </c>
      <c r="W21">
        <f t="shared" si="11"/>
        <v>-0.11111111111111116</v>
      </c>
    </row>
    <row r="22" spans="2:23" x14ac:dyDescent="0.2">
      <c r="B22" s="19">
        <v>6.5000000000000002E-2</v>
      </c>
      <c r="C22" s="20">
        <v>70</v>
      </c>
      <c r="D22" s="2">
        <f t="shared" si="0"/>
        <v>17.791344628946742</v>
      </c>
      <c r="E22" s="2">
        <f t="shared" si="1"/>
        <v>528.93510198601189</v>
      </c>
      <c r="F22" s="2">
        <f t="shared" si="9"/>
        <v>14.478594872800851</v>
      </c>
      <c r="G22" s="2">
        <f>SUM(F$9:F22)</f>
        <v>-17.791344628946742</v>
      </c>
      <c r="H22" s="3">
        <f t="shared" si="2"/>
        <v>0</v>
      </c>
      <c r="I22" s="1">
        <f>G22*C22-SUMPRODUCT(C$9:C22,F$9:F22)</f>
        <v>1755.0081743796541</v>
      </c>
      <c r="J22" s="2">
        <f t="shared" si="3"/>
        <v>175.42938205918796</v>
      </c>
      <c r="K22" s="15">
        <f t="shared" si="4"/>
        <v>507.31207784026014</v>
      </c>
      <c r="M22" s="19">
        <v>0.05</v>
      </c>
      <c r="N22" s="20">
        <v>100</v>
      </c>
      <c r="O22" s="2">
        <f t="shared" si="5"/>
        <v>62.120553367476241</v>
      </c>
      <c r="P22" s="2">
        <f t="shared" si="10"/>
        <v>0</v>
      </c>
      <c r="Q22" s="2">
        <f>SUM(P$9:P22)</f>
        <v>-62.120553367476241</v>
      </c>
      <c r="R22" s="3">
        <f t="shared" si="6"/>
        <v>0</v>
      </c>
      <c r="S22" s="1">
        <f>Q22*N22-SUMPRODUCT(N$9:N22,P$9:P22)</f>
        <v>1647.0532543700192</v>
      </c>
      <c r="T22" s="2">
        <f t="shared" si="7"/>
        <v>1394.2647846102452</v>
      </c>
      <c r="U22" s="15">
        <f t="shared" si="8"/>
        <v>1618.1925603816828</v>
      </c>
      <c r="W22">
        <f t="shared" si="11"/>
        <v>-0.125</v>
      </c>
    </row>
    <row r="23" spans="2:23" x14ac:dyDescent="0.2">
      <c r="B23" s="19">
        <v>7.0000000000000007E-2</v>
      </c>
      <c r="C23" s="20">
        <v>60</v>
      </c>
      <c r="D23" s="2">
        <f t="shared" si="0"/>
        <v>7.2105279746245365</v>
      </c>
      <c r="E23" s="2">
        <f t="shared" si="1"/>
        <v>238.43471170122436</v>
      </c>
      <c r="F23" s="2">
        <f t="shared" si="9"/>
        <v>10.580816654322206</v>
      </c>
      <c r="G23" s="2">
        <f>SUM(F$9:F23)</f>
        <v>-7.2105279746245365</v>
      </c>
      <c r="H23" s="3">
        <f t="shared" si="2"/>
        <v>0</v>
      </c>
      <c r="I23" s="1">
        <f>G23*C23-SUMPRODUCT(C$9:C23,F$9:F23)</f>
        <v>1932.9216206691217</v>
      </c>
      <c r="J23" s="2">
        <f t="shared" si="3"/>
        <v>51.247897222647644</v>
      </c>
      <c r="K23" s="15">
        <f t="shared" si="4"/>
        <v>561.04403929318755</v>
      </c>
      <c r="M23" s="19">
        <v>0.05</v>
      </c>
      <c r="N23" s="20">
        <v>100</v>
      </c>
      <c r="O23" s="2">
        <f t="shared" si="5"/>
        <v>62.120553367476241</v>
      </c>
      <c r="P23" s="2">
        <f t="shared" si="10"/>
        <v>0</v>
      </c>
      <c r="Q23" s="2">
        <f>SUM(P$9:P23)</f>
        <v>-62.120553367476241</v>
      </c>
      <c r="R23" s="3">
        <f t="shared" si="6"/>
        <v>0</v>
      </c>
      <c r="S23" s="1">
        <f>Q23*N23-SUMPRODUCT(N$9:N23,P$9:P23)</f>
        <v>1647.0532543700192</v>
      </c>
      <c r="T23" s="2">
        <f t="shared" si="7"/>
        <v>1394.2647846102452</v>
      </c>
      <c r="U23" s="15">
        <f t="shared" si="8"/>
        <v>1618.1925603816828</v>
      </c>
      <c r="W23">
        <f t="shared" si="11"/>
        <v>-0.1428571428571429</v>
      </c>
    </row>
    <row r="24" spans="2:23" x14ac:dyDescent="0.2">
      <c r="B24" s="19">
        <v>7.4999999999999997E-2</v>
      </c>
      <c r="C24" s="20">
        <v>50</v>
      </c>
      <c r="D24" s="2">
        <f t="shared" si="0"/>
        <v>1.7962579815301785</v>
      </c>
      <c r="E24" s="2">
        <f t="shared" si="1"/>
        <v>63.750324931475419</v>
      </c>
      <c r="F24" s="2">
        <f t="shared" si="9"/>
        <v>5.4142699930943579</v>
      </c>
      <c r="G24" s="2">
        <f>SUM(F$9:F24)</f>
        <v>-1.7962579815301787</v>
      </c>
      <c r="H24" s="3">
        <f t="shared" si="2"/>
        <v>0</v>
      </c>
      <c r="I24" s="1">
        <f>G24*C24-SUMPRODUCT(C$9:C24,F$9:F24)</f>
        <v>2005.026900415367</v>
      </c>
      <c r="J24" s="2">
        <f t="shared" si="3"/>
        <v>8.8696249147330199</v>
      </c>
      <c r="K24" s="15">
        <f t="shared" si="4"/>
        <v>590.77104673151825</v>
      </c>
      <c r="M24" s="19">
        <v>7.4999999999999997E-2</v>
      </c>
      <c r="N24" s="20">
        <v>50</v>
      </c>
      <c r="O24" s="2">
        <f t="shared" si="5"/>
        <v>1.7962579815301785</v>
      </c>
      <c r="P24" s="2">
        <f t="shared" si="10"/>
        <v>60.324295385946066</v>
      </c>
      <c r="Q24" s="2">
        <f>SUM(P$9:P24)</f>
        <v>-1.7962579815301751</v>
      </c>
      <c r="R24" s="3">
        <f t="shared" si="6"/>
        <v>3.3306690738754696E-15</v>
      </c>
      <c r="S24" s="1">
        <f>Q24*N24-SUMPRODUCT(N$9:N24,P$9:P24)</f>
        <v>4753.0809227438313</v>
      </c>
      <c r="T24" s="2">
        <f t="shared" si="7"/>
        <v>8.8696249147330199</v>
      </c>
      <c r="U24" s="15">
        <f t="shared" si="8"/>
        <v>3338.8250690599825</v>
      </c>
      <c r="W24">
        <f t="shared" si="11"/>
        <v>-0.16666666666666663</v>
      </c>
    </row>
    <row r="25" spans="2:23" x14ac:dyDescent="0.2">
      <c r="B25" s="19">
        <v>0.08</v>
      </c>
      <c r="C25" s="20">
        <v>60</v>
      </c>
      <c r="D25" s="2">
        <f>100*NORMDIST((LN($C25/$C$4)+($C$2+($C$3^2)/2)*($C$5-$B25))/($C$3*SQRT($C$5-$B25)),0,1,TRUE)</f>
        <v>7.0577194940462009</v>
      </c>
      <c r="E25" s="2">
        <f t="shared" si="1"/>
        <v>233.28199472456751</v>
      </c>
      <c r="F25" s="2">
        <f t="shared" si="9"/>
        <v>-5.2614615125160222</v>
      </c>
      <c r="G25" s="2">
        <f>SUM(F$9:F25)</f>
        <v>-7.0577194940462009</v>
      </c>
      <c r="H25" s="3">
        <f t="shared" si="2"/>
        <v>0</v>
      </c>
      <c r="I25" s="1">
        <f>G25*C25-SUMPRODUCT(C$9:C25,F$9:F25)</f>
        <v>1987.0643206000652</v>
      </c>
      <c r="J25" s="2">
        <f t="shared" si="3"/>
        <v>49.943460017445453</v>
      </c>
      <c r="K25" s="15">
        <f t="shared" si="4"/>
        <v>613.88230201892884</v>
      </c>
      <c r="M25" s="19">
        <v>7.4999999999999997E-2</v>
      </c>
      <c r="N25" s="20">
        <v>50</v>
      </c>
      <c r="O25" s="2">
        <f t="shared" si="5"/>
        <v>1.7962579815301785</v>
      </c>
      <c r="P25" s="2">
        <f t="shared" si="10"/>
        <v>0</v>
      </c>
      <c r="Q25" s="2">
        <f>SUM(P$9:P25)</f>
        <v>-1.7962579815301751</v>
      </c>
      <c r="R25" s="3">
        <f t="shared" si="6"/>
        <v>3.3306690738754696E-15</v>
      </c>
      <c r="S25" s="1">
        <f>Q25*N25-SUMPRODUCT(N$9:N25,P$9:P25)</f>
        <v>4753.0809227438313</v>
      </c>
      <c r="T25" s="2">
        <f t="shared" si="7"/>
        <v>8.8696249147330199</v>
      </c>
      <c r="U25" s="15">
        <f t="shared" si="8"/>
        <v>3338.8250690599825</v>
      </c>
      <c r="W25">
        <f t="shared" si="11"/>
        <v>0.19999999999999996</v>
      </c>
    </row>
    <row r="26" spans="2:23" x14ac:dyDescent="0.2">
      <c r="B26" s="19">
        <v>8.5000000000000006E-2</v>
      </c>
      <c r="C26" s="20">
        <v>70</v>
      </c>
      <c r="D26" s="2">
        <f t="shared" si="0"/>
        <v>17.360783234534178</v>
      </c>
      <c r="E26" s="2">
        <f t="shared" si="1"/>
        <v>515.18961075375921</v>
      </c>
      <c r="F26" s="2">
        <f t="shared" si="9"/>
        <v>-10.303063740487978</v>
      </c>
      <c r="G26" s="2">
        <f>SUM(F$9:F26)</f>
        <v>-17.360783234534178</v>
      </c>
      <c r="H26" s="3">
        <f t="shared" si="2"/>
        <v>0</v>
      </c>
      <c r="I26" s="1">
        <f>G26*C26-SUMPRODUCT(C$9:C26,F$9:F26)</f>
        <v>1916.4871256596034</v>
      </c>
      <c r="J26" s="2">
        <f t="shared" si="3"/>
        <v>169.69367444915787</v>
      </c>
      <c r="K26" s="15">
        <f t="shared" si="4"/>
        <v>663.05532151017928</v>
      </c>
      <c r="M26" s="19">
        <v>7.4999999999999997E-2</v>
      </c>
      <c r="N26" s="20">
        <v>50</v>
      </c>
      <c r="O26" s="2">
        <f t="shared" si="5"/>
        <v>1.7962579815301785</v>
      </c>
      <c r="P26" s="2">
        <f t="shared" si="10"/>
        <v>0</v>
      </c>
      <c r="Q26" s="2">
        <f>SUM(P$9:P26)</f>
        <v>-1.7962579815301751</v>
      </c>
      <c r="R26" s="3">
        <f t="shared" si="6"/>
        <v>3.3306690738754696E-15</v>
      </c>
      <c r="S26" s="1">
        <f>Q26*N26-SUMPRODUCT(N$9:N26,P$9:P26)</f>
        <v>4753.0809227438313</v>
      </c>
      <c r="T26" s="2">
        <f t="shared" si="7"/>
        <v>8.8696249147330199</v>
      </c>
      <c r="U26" s="15">
        <f t="shared" si="8"/>
        <v>3338.8250690599825</v>
      </c>
      <c r="W26">
        <f t="shared" si="11"/>
        <v>0.16666666666666674</v>
      </c>
    </row>
    <row r="27" spans="2:23" x14ac:dyDescent="0.2">
      <c r="B27" s="19">
        <v>0.09</v>
      </c>
      <c r="C27" s="20">
        <v>80</v>
      </c>
      <c r="D27" s="2">
        <f t="shared" si="0"/>
        <v>31.645111946664539</v>
      </c>
      <c r="E27" s="2">
        <f t="shared" si="1"/>
        <v>814.8934179484653</v>
      </c>
      <c r="F27" s="2">
        <f t="shared" si="9"/>
        <v>-14.28432871213036</v>
      </c>
      <c r="G27" s="2">
        <f>SUM(F$9:F27)</f>
        <v>-31.645111946664539</v>
      </c>
      <c r="H27" s="3">
        <f t="shared" si="2"/>
        <v>0</v>
      </c>
      <c r="I27" s="1">
        <f>G27*C27-SUMPRODUCT(C$9:C27,F$9:F27)</f>
        <v>1742.8792933142618</v>
      </c>
      <c r="J27" s="2">
        <f t="shared" si="3"/>
        <v>415.26647127435933</v>
      </c>
      <c r="K27" s="15">
        <f t="shared" si="4"/>
        <v>735.02028599003938</v>
      </c>
      <c r="M27" s="19">
        <v>7.4999999999999997E-2</v>
      </c>
      <c r="N27" s="20">
        <v>50</v>
      </c>
      <c r="O27" s="2">
        <f t="shared" si="5"/>
        <v>1.7962579815301785</v>
      </c>
      <c r="P27" s="2">
        <f t="shared" si="10"/>
        <v>0</v>
      </c>
      <c r="Q27" s="2">
        <f>SUM(P$9:P27)</f>
        <v>-1.7962579815301751</v>
      </c>
      <c r="R27" s="3">
        <f t="shared" si="6"/>
        <v>3.3306690738754696E-15</v>
      </c>
      <c r="S27" s="1">
        <f>Q27*N27-SUMPRODUCT(N$9:N27,P$9:P27)</f>
        <v>4753.0809227438313</v>
      </c>
      <c r="T27" s="2">
        <f t="shared" si="7"/>
        <v>8.8696249147330199</v>
      </c>
      <c r="U27" s="15">
        <f t="shared" si="8"/>
        <v>3338.8250690599825</v>
      </c>
      <c r="W27">
        <f t="shared" si="11"/>
        <v>0.14285714285714279</v>
      </c>
    </row>
    <row r="28" spans="2:23" x14ac:dyDescent="0.2">
      <c r="B28" s="19">
        <v>9.5000000000000001E-2</v>
      </c>
      <c r="C28" s="20">
        <v>90</v>
      </c>
      <c r="D28" s="2">
        <f t="shared" si="0"/>
        <v>47.292253393105455</v>
      </c>
      <c r="E28" s="2">
        <f t="shared" si="1"/>
        <v>1022.342074190738</v>
      </c>
      <c r="F28" s="2">
        <f t="shared" si="9"/>
        <v>-15.647141446440916</v>
      </c>
      <c r="G28" s="2">
        <f>SUM(F$9:F28)</f>
        <v>-47.292253393105455</v>
      </c>
      <c r="H28" s="3">
        <f t="shared" si="2"/>
        <v>0</v>
      </c>
      <c r="I28" s="1">
        <f>G28*C28-SUMPRODUCT(C$9:C28,F$9:F28)</f>
        <v>1426.4281738476166</v>
      </c>
      <c r="J28" s="2">
        <f t="shared" si="3"/>
        <v>813.57188764996022</v>
      </c>
      <c r="K28" s="15">
        <f t="shared" si="4"/>
        <v>816.87458289899519</v>
      </c>
      <c r="M28" s="19">
        <v>7.4999999999999997E-2</v>
      </c>
      <c r="N28" s="20">
        <v>50</v>
      </c>
      <c r="O28" s="2">
        <f t="shared" si="5"/>
        <v>1.7962579815301785</v>
      </c>
      <c r="P28" s="2">
        <f t="shared" si="10"/>
        <v>0</v>
      </c>
      <c r="Q28" s="2">
        <f>SUM(P$9:P28)</f>
        <v>-1.7962579815301751</v>
      </c>
      <c r="R28" s="3">
        <f t="shared" si="6"/>
        <v>3.3306690738754696E-15</v>
      </c>
      <c r="S28" s="1">
        <f>Q28*N28-SUMPRODUCT(N$9:N28,P$9:P28)</f>
        <v>4753.0809227438313</v>
      </c>
      <c r="T28" s="2">
        <f t="shared" si="7"/>
        <v>8.8696249147330199</v>
      </c>
      <c r="U28" s="15">
        <f t="shared" si="8"/>
        <v>3338.8250690599825</v>
      </c>
      <c r="W28">
        <f t="shared" si="11"/>
        <v>0.125</v>
      </c>
    </row>
    <row r="29" spans="2:23" ht="13.5" thickBot="1" x14ac:dyDescent="0.25">
      <c r="B29" s="21">
        <v>0.1</v>
      </c>
      <c r="C29" s="22">
        <v>100</v>
      </c>
      <c r="D29" s="5">
        <f t="shared" si="0"/>
        <v>61.807021365408389</v>
      </c>
      <c r="E29" s="32">
        <f t="shared" si="1"/>
        <v>1085.3130792078493</v>
      </c>
      <c r="F29" s="5">
        <f t="shared" si="9"/>
        <v>-14.514767972302934</v>
      </c>
      <c r="G29" s="5">
        <f>SUM(F$9:F29)</f>
        <v>-61.807021365408389</v>
      </c>
      <c r="H29" s="6">
        <f t="shared" si="2"/>
        <v>0</v>
      </c>
      <c r="I29" s="4">
        <f>G29*C29-SUMPRODUCT(C$9:C29,F$9:F29)</f>
        <v>953.50563991656145</v>
      </c>
      <c r="J29" s="5">
        <f t="shared" si="3"/>
        <v>1364.5555666031541</v>
      </c>
      <c r="K29" s="16">
        <f t="shared" si="4"/>
        <v>894.93572792113378</v>
      </c>
      <c r="M29" s="21">
        <v>0.1</v>
      </c>
      <c r="N29" s="22">
        <v>100</v>
      </c>
      <c r="O29" s="5">
        <f t="shared" si="5"/>
        <v>61.807021365408389</v>
      </c>
      <c r="P29" s="5">
        <f t="shared" si="10"/>
        <v>-60.010763383878214</v>
      </c>
      <c r="Q29" s="5">
        <f>SUM(P$9:P29)</f>
        <v>-61.807021365408389</v>
      </c>
      <c r="R29" s="6">
        <f t="shared" si="6"/>
        <v>0</v>
      </c>
      <c r="S29" s="4">
        <f>Q29*N29-SUMPRODUCT(N$9:N29,P$9:P29)</f>
        <v>4663.2680236673232</v>
      </c>
      <c r="T29" s="5">
        <f t="shared" si="7"/>
        <v>1364.5555666031541</v>
      </c>
      <c r="U29" s="16">
        <f t="shared" si="8"/>
        <v>4604.6981116718953</v>
      </c>
      <c r="W29">
        <f t="shared" si="11"/>
        <v>0.11111111111111116</v>
      </c>
    </row>
  </sheetData>
  <mergeCells count="2">
    <mergeCell ref="B7:K7"/>
    <mergeCell ref="M7:U7"/>
  </mergeCells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3" enableFormatConditionsCalculation="0"/>
  <dimension ref="B1:W29"/>
  <sheetViews>
    <sheetView workbookViewId="0"/>
  </sheetViews>
  <sheetFormatPr defaultColWidth="11" defaultRowHeight="12.75" x14ac:dyDescent="0.2"/>
  <cols>
    <col min="3" max="11" width="8.25" customWidth="1"/>
    <col min="12" max="12" width="2.25" customWidth="1"/>
    <col min="13" max="21" width="8.125" customWidth="1"/>
  </cols>
  <sheetData>
    <row r="1" spans="2:23" ht="13.5" thickBot="1" x14ac:dyDescent="0.25"/>
    <row r="2" spans="2:23" x14ac:dyDescent="0.2">
      <c r="B2" s="8" t="s">
        <v>7</v>
      </c>
      <c r="C2" s="9">
        <v>0.05</v>
      </c>
      <c r="F2">
        <f>STDEV(W10:W29)</f>
        <v>5.105535660599194E-2</v>
      </c>
      <c r="G2">
        <f>SQRT(1/0.005)</f>
        <v>14.142135623730951</v>
      </c>
      <c r="H2">
        <f>G2*F2</f>
        <v>0.722031777439886</v>
      </c>
    </row>
    <row r="3" spans="2:23" x14ac:dyDescent="0.2">
      <c r="B3" s="10" t="s">
        <v>8</v>
      </c>
      <c r="C3" s="11">
        <v>0.3</v>
      </c>
    </row>
    <row r="4" spans="2:23" x14ac:dyDescent="0.2">
      <c r="B4" s="10" t="s">
        <v>0</v>
      </c>
      <c r="C4" s="11">
        <v>100</v>
      </c>
    </row>
    <row r="5" spans="2:23" ht="13.5" thickBot="1" x14ac:dyDescent="0.25">
      <c r="B5" s="12" t="s">
        <v>1</v>
      </c>
      <c r="C5" s="13">
        <v>1</v>
      </c>
    </row>
    <row r="6" spans="2:23" x14ac:dyDescent="0.2">
      <c r="B6" s="1"/>
      <c r="C6" s="1"/>
    </row>
    <row r="7" spans="2:23" ht="13.5" thickBot="1" x14ac:dyDescent="0.25">
      <c r="B7" s="33" t="s">
        <v>15</v>
      </c>
      <c r="C7" s="33"/>
      <c r="D7" s="33"/>
      <c r="E7" s="33"/>
      <c r="F7" s="33"/>
      <c r="G7" s="33"/>
      <c r="H7" s="33"/>
      <c r="I7" s="33"/>
      <c r="J7" s="33"/>
      <c r="K7" s="33"/>
      <c r="M7" s="33" t="s">
        <v>14</v>
      </c>
      <c r="N7" s="33"/>
      <c r="O7" s="33"/>
      <c r="P7" s="33"/>
      <c r="Q7" s="33"/>
      <c r="R7" s="33"/>
      <c r="S7" s="33"/>
      <c r="T7" s="33"/>
      <c r="U7" s="33"/>
    </row>
    <row r="8" spans="2:23" ht="13.5" thickBot="1" x14ac:dyDescent="0.25">
      <c r="B8" s="17" t="s">
        <v>2</v>
      </c>
      <c r="C8" s="18" t="s">
        <v>3</v>
      </c>
      <c r="D8" s="7" t="s">
        <v>4</v>
      </c>
      <c r="E8" s="7" t="s">
        <v>16</v>
      </c>
      <c r="F8" s="7" t="s">
        <v>6</v>
      </c>
      <c r="G8" s="7" t="s">
        <v>5</v>
      </c>
      <c r="H8" s="7" t="s">
        <v>9</v>
      </c>
      <c r="I8" s="7" t="s">
        <v>11</v>
      </c>
      <c r="J8" s="7" t="s">
        <v>10</v>
      </c>
      <c r="K8" s="14" t="s">
        <v>13</v>
      </c>
      <c r="M8" s="17" t="s">
        <v>2</v>
      </c>
      <c r="N8" s="18" t="s">
        <v>3</v>
      </c>
      <c r="O8" s="7" t="s">
        <v>4</v>
      </c>
      <c r="P8" s="7" t="s">
        <v>6</v>
      </c>
      <c r="Q8" s="7" t="s">
        <v>5</v>
      </c>
      <c r="R8" s="7" t="s">
        <v>9</v>
      </c>
      <c r="S8" s="7" t="s">
        <v>11</v>
      </c>
      <c r="T8" s="7" t="s">
        <v>10</v>
      </c>
      <c r="U8" s="14" t="s">
        <v>12</v>
      </c>
    </row>
    <row r="9" spans="2:23" x14ac:dyDescent="0.2">
      <c r="B9" s="19">
        <v>0.89500000000000002</v>
      </c>
      <c r="C9" s="20">
        <v>100</v>
      </c>
      <c r="D9" s="2">
        <f>100*NORMDIST((LN($C9/$C$4)+($C$2+($C$3^2)/2)*($C$5-$B9))/($C$3*SQRT($C$5-$B9)),0,1,TRUE)</f>
        <v>54.086443270102414</v>
      </c>
      <c r="E9" s="2">
        <f>100*NORMDIST((LN($C9/$C$4)+($C$2+($C$3^2)/2)*($C$5-$B9))/($C$3*SQRT($C$5-$B9)),0,1,FALSE)*($C9*$C$3*SQRT($C$5-$B9))</f>
        <v>385.77989503075753</v>
      </c>
      <c r="F9" s="2">
        <f>-D9</f>
        <v>-54.086443270102414</v>
      </c>
      <c r="G9" s="2">
        <f>SUM(F$9:F9)</f>
        <v>-54.086443270102414</v>
      </c>
      <c r="H9" s="3">
        <f>G9+D9</f>
        <v>0</v>
      </c>
      <c r="I9" s="1">
        <f>G9*C9-SUMPRODUCT(C$9:C9,F$9:F9)</f>
        <v>0</v>
      </c>
      <c r="J9" s="2">
        <f>100*($C9*NORMDIST((LN($C9/$C$4)+($C$2+($C$3^2)/2)*($C$5-$B9))/($C$3*SQRT($C$5-$B9)),0,1,TRUE)-$C$4*EXP(-$C$2)*NORMDIST((LN($C9/$C$4)+($C$2-($C$3^2)/2)*($C$5-$B9))/($C$3*SQRT($C$5-$B9)),0,1,TRUE))</f>
        <v>632.0027374296053</v>
      </c>
      <c r="K9" s="15">
        <f>I9+J9-$J$9</f>
        <v>0</v>
      </c>
      <c r="M9" s="19">
        <v>0.89500000000000002</v>
      </c>
      <c r="N9" s="20">
        <v>100</v>
      </c>
      <c r="O9" s="2">
        <f>100*NORMDIST((LN($N9/$C$4)+($C$2+($C$3^2)/2)*($C$5-$M9))/($C$3*SQRT($C$5-$M9)),0,1,TRUE)</f>
        <v>54.086443270102414</v>
      </c>
      <c r="P9" s="2">
        <f>-O9</f>
        <v>-54.086443270102414</v>
      </c>
      <c r="Q9" s="2">
        <f>SUM(P$9:P9)</f>
        <v>-54.086443270102414</v>
      </c>
      <c r="R9" s="3">
        <f>Q9+O9</f>
        <v>0</v>
      </c>
      <c r="S9" s="1">
        <f>Q9*N9-SUMPRODUCT(N$9:N9,P$9:P9)</f>
        <v>0</v>
      </c>
      <c r="T9" s="2">
        <f>100*($N9*NORMDIST((LN($N9/$C$4)+($C$2+($C$3^2)/2)*($C$5-$M9))/($C$3*SQRT($C$5-$M9)),0,1,TRUE)-$C$4*EXP(-$C$2)*NORMDIST((LN($N9/$C$4)+($C$2-($C$3^2)/2)*($C$5-$M9))/($C$3*SQRT($C$5-$M9)),0,1,TRUE))</f>
        <v>632.0027374296053</v>
      </c>
      <c r="U9" s="15">
        <f>S9+T9-$J$9</f>
        <v>0</v>
      </c>
    </row>
    <row r="10" spans="2:23" x14ac:dyDescent="0.2">
      <c r="B10" s="19">
        <v>0.9</v>
      </c>
      <c r="C10" s="20">
        <v>105</v>
      </c>
      <c r="D10" s="2">
        <f t="shared" ref="D10:D29" si="0">100*NORMDIST((LN($C10/$C$4)+($C$2+($C$3^2)/2)*($C$5-$B10))/($C$3*SQRT($C$5-$B10)),0,1,TRUE)</f>
        <v>73.053514480874384</v>
      </c>
      <c r="E10" s="2">
        <f t="shared" ref="E10:E29" si="1">100*NORMDIST((LN($C10/$C$4)+($C$2+($C$3^2)/2)*($C$5-$B10))/($C$3*SQRT($C$5-$B10)),0,1,FALSE)*($C10*$C$3*SQRT($C$5-$B10))</f>
        <v>329.03467450556769</v>
      </c>
      <c r="F10" s="2">
        <f>-(D10-D9)</f>
        <v>-18.967071210771969</v>
      </c>
      <c r="G10" s="2">
        <f>SUM(F$9:F10)</f>
        <v>-73.053514480874384</v>
      </c>
      <c r="H10" s="3">
        <f t="shared" ref="H10:H29" si="2">G10+D10</f>
        <v>0</v>
      </c>
      <c r="I10" s="1">
        <f>G10*C10-SUMPRODUCT(C$9:C10,F$9:F10)</f>
        <v>-270.43221635051214</v>
      </c>
      <c r="J10" s="2">
        <f t="shared" ref="J10:J29" si="3">100*($C10*NORMDIST((LN($C10/$C$4)+($C$2+($C$3^2)/2)*($C$5-$B10))/($C$3*SQRT($C$5-$B10)),0,1,TRUE)-$C$4*EXP(-$C$2)*NORMDIST((LN($C10/$C$4)+($C$2-($C$3^2)/2)*($C$5-$B10))/($C$3*SQRT($C$5-$B10)),0,1,TRUE))</f>
        <v>1028.0295162474133</v>
      </c>
      <c r="K10" s="15">
        <f t="shared" ref="K10:K29" si="4">I10+J10-$J$9</f>
        <v>125.59456246729587</v>
      </c>
      <c r="M10" s="19">
        <v>0.89500000000000002</v>
      </c>
      <c r="N10" s="20">
        <v>100</v>
      </c>
      <c r="O10" s="2">
        <f t="shared" ref="O10:O29" si="5">100*NORMDIST((LN($N10/$C$4)+($C$2+($C$3^2)/2)*($C$5-$M10))/($C$3*SQRT($C$5-$M10)),0,1,TRUE)</f>
        <v>54.086443270102414</v>
      </c>
      <c r="P10" s="2">
        <f>-(O10-O9)</f>
        <v>0</v>
      </c>
      <c r="Q10" s="2">
        <f>SUM(P$9:P10)</f>
        <v>-54.086443270102414</v>
      </c>
      <c r="R10" s="3">
        <f t="shared" ref="R10:R29" si="6">Q10+O10</f>
        <v>0</v>
      </c>
      <c r="S10" s="1">
        <f>Q10*N10-SUMPRODUCT(N$9:N10,P$9:P10)</f>
        <v>0</v>
      </c>
      <c r="T10" s="2">
        <f t="shared" ref="T10:T29" si="7">100*($N10*NORMDIST((LN($N10/$C$4)+($C$2+($C$3^2)/2)*($C$5-$M10))/($C$3*SQRT($C$5-$M10)),0,1,TRUE)-$C$4*EXP(-$C$2)*NORMDIST((LN($N10/$C$4)+($C$2-($C$3^2)/2)*($C$5-$M10))/($C$3*SQRT($C$5-$M10)),0,1,TRUE))</f>
        <v>632.0027374296053</v>
      </c>
      <c r="U10" s="15">
        <f t="shared" ref="U10:U29" si="8">S10+T10-$J$9</f>
        <v>0</v>
      </c>
      <c r="W10">
        <f>C10/C9-1</f>
        <v>5.0000000000000044E-2</v>
      </c>
    </row>
    <row r="11" spans="2:23" x14ac:dyDescent="0.2">
      <c r="B11" s="19">
        <v>0.90500000000000003</v>
      </c>
      <c r="C11" s="20">
        <v>110</v>
      </c>
      <c r="D11" s="2">
        <f t="shared" si="0"/>
        <v>87.041605931653621</v>
      </c>
      <c r="E11" s="2">
        <f t="shared" si="1"/>
        <v>214.69143041714906</v>
      </c>
      <c r="F11" s="2">
        <f t="shared" ref="F11:F29" si="9">-(D11-D10)</f>
        <v>-13.988091450779237</v>
      </c>
      <c r="G11" s="2">
        <f>SUM(F$9:F11)</f>
        <v>-87.041605931653621</v>
      </c>
      <c r="H11" s="3">
        <f t="shared" si="2"/>
        <v>0</v>
      </c>
      <c r="I11" s="1">
        <f>G11*C11-SUMPRODUCT(C$9:C11,F$9:F11)</f>
        <v>-635.69978875488414</v>
      </c>
      <c r="J11" s="2">
        <f t="shared" si="3"/>
        <v>1490.3234742221102</v>
      </c>
      <c r="K11" s="15">
        <f t="shared" si="4"/>
        <v>222.62094803762079</v>
      </c>
      <c r="M11" s="19">
        <v>0.90500000000000003</v>
      </c>
      <c r="N11" s="20">
        <v>110</v>
      </c>
      <c r="O11" s="2">
        <f t="shared" si="5"/>
        <v>87.041605931653621</v>
      </c>
      <c r="P11" s="2">
        <f t="shared" ref="P11:P29" si="10">-(O11-O10)</f>
        <v>-32.955162661551206</v>
      </c>
      <c r="Q11" s="2">
        <f>SUM(P$9:P11)</f>
        <v>-87.041605931653621</v>
      </c>
      <c r="R11" s="3">
        <f t="shared" si="6"/>
        <v>0</v>
      </c>
      <c r="S11" s="1">
        <f>Q11*N11-SUMPRODUCT(N$9:N11,P$9:P11)</f>
        <v>-540.86443270102427</v>
      </c>
      <c r="T11" s="2">
        <f t="shared" si="7"/>
        <v>1490.3234742221102</v>
      </c>
      <c r="U11" s="15">
        <f t="shared" si="8"/>
        <v>317.45630409148066</v>
      </c>
      <c r="W11">
        <f t="shared" ref="W11:W29" si="11">C11/C10-1</f>
        <v>4.7619047619047672E-2</v>
      </c>
    </row>
    <row r="12" spans="2:23" x14ac:dyDescent="0.2">
      <c r="B12" s="19">
        <v>0.91</v>
      </c>
      <c r="C12" s="20">
        <v>105</v>
      </c>
      <c r="D12" s="2">
        <f t="shared" si="0"/>
        <v>73.797435824218965</v>
      </c>
      <c r="E12" s="2">
        <f t="shared" si="1"/>
        <v>307.75067185430993</v>
      </c>
      <c r="F12" s="2">
        <f t="shared" si="9"/>
        <v>13.244170107434655</v>
      </c>
      <c r="G12" s="2">
        <f>SUM(F$9:F12)</f>
        <v>-73.797435824218965</v>
      </c>
      <c r="H12" s="3">
        <f t="shared" si="2"/>
        <v>0</v>
      </c>
      <c r="I12" s="1">
        <f>G12*C12-SUMPRODUCT(C$9:C12,F$9:F12)</f>
        <v>-200.49175909661517</v>
      </c>
      <c r="J12" s="2">
        <f t="shared" si="3"/>
        <v>1015.4587311200686</v>
      </c>
      <c r="K12" s="15">
        <f t="shared" si="4"/>
        <v>182.96423459384812</v>
      </c>
      <c r="M12" s="19">
        <v>0.90500000000000003</v>
      </c>
      <c r="N12" s="20">
        <v>110</v>
      </c>
      <c r="O12" s="2">
        <f t="shared" si="5"/>
        <v>87.041605931653621</v>
      </c>
      <c r="P12" s="2">
        <f t="shared" si="10"/>
        <v>0</v>
      </c>
      <c r="Q12" s="2">
        <f>SUM(P$9:P12)</f>
        <v>-87.041605931653621</v>
      </c>
      <c r="R12" s="3">
        <f t="shared" si="6"/>
        <v>0</v>
      </c>
      <c r="S12" s="1">
        <f>Q12*N12-SUMPRODUCT(N$9:N12,P$9:P12)</f>
        <v>-540.86443270102427</v>
      </c>
      <c r="T12" s="2">
        <f t="shared" si="7"/>
        <v>1490.3234742221102</v>
      </c>
      <c r="U12" s="15">
        <f t="shared" si="8"/>
        <v>317.45630409148066</v>
      </c>
      <c r="W12">
        <f t="shared" si="11"/>
        <v>-4.5454545454545414E-2</v>
      </c>
    </row>
    <row r="13" spans="2:23" x14ac:dyDescent="0.2">
      <c r="B13" s="19">
        <v>0.91500000000000004</v>
      </c>
      <c r="C13" s="20">
        <v>100</v>
      </c>
      <c r="D13" s="2">
        <f t="shared" si="0"/>
        <v>53.677945336032614</v>
      </c>
      <c r="E13" s="2">
        <f t="shared" si="1"/>
        <v>347.44807092257167</v>
      </c>
      <c r="F13" s="2">
        <f t="shared" si="9"/>
        <v>20.119490488186351</v>
      </c>
      <c r="G13" s="2">
        <f>SUM(F$9:F13)</f>
        <v>-53.677945336032614</v>
      </c>
      <c r="H13" s="3">
        <f t="shared" si="2"/>
        <v>0</v>
      </c>
      <c r="I13" s="1">
        <f>G13*C13-SUMPRODUCT(C$9:C13,F$9:F13)</f>
        <v>168.49542002448015</v>
      </c>
      <c r="J13" s="2">
        <f t="shared" si="3"/>
        <v>593.20779627046113</v>
      </c>
      <c r="K13" s="15">
        <f t="shared" si="4"/>
        <v>129.70047886533598</v>
      </c>
      <c r="M13" s="19">
        <v>0.91500000000000004</v>
      </c>
      <c r="N13" s="20">
        <v>100</v>
      </c>
      <c r="O13" s="2">
        <f t="shared" si="5"/>
        <v>53.677945336032614</v>
      </c>
      <c r="P13" s="2">
        <f t="shared" si="10"/>
        <v>33.363660595621006</v>
      </c>
      <c r="Q13" s="2">
        <f>SUM(P$9:P13)</f>
        <v>-53.677945336032614</v>
      </c>
      <c r="R13" s="3">
        <f t="shared" si="6"/>
        <v>0</v>
      </c>
      <c r="S13" s="1">
        <f>Q13*N13-SUMPRODUCT(N$9:N13,P$9:P13)</f>
        <v>329.55162661551276</v>
      </c>
      <c r="T13" s="2">
        <f t="shared" si="7"/>
        <v>593.20779627046113</v>
      </c>
      <c r="U13" s="15">
        <f t="shared" si="8"/>
        <v>290.75668545636859</v>
      </c>
      <c r="W13">
        <f t="shared" si="11"/>
        <v>-4.7619047619047672E-2</v>
      </c>
    </row>
    <row r="14" spans="2:23" x14ac:dyDescent="0.2">
      <c r="B14" s="19">
        <v>0.92</v>
      </c>
      <c r="C14" s="20">
        <v>95</v>
      </c>
      <c r="D14" s="2">
        <f t="shared" si="0"/>
        <v>30.330082396829333</v>
      </c>
      <c r="E14" s="2">
        <f t="shared" si="1"/>
        <v>281.65833349101882</v>
      </c>
      <c r="F14" s="2">
        <f t="shared" si="9"/>
        <v>23.347862939203281</v>
      </c>
      <c r="G14" s="2">
        <f>SUM(F$9:F14)</f>
        <v>-30.330082396829333</v>
      </c>
      <c r="H14" s="3">
        <f t="shared" si="2"/>
        <v>0</v>
      </c>
      <c r="I14" s="1">
        <f>G14*C14-SUMPRODUCT(C$9:C14,F$9:F14)</f>
        <v>436.88514670464383</v>
      </c>
      <c r="J14" s="2">
        <f t="shared" si="3"/>
        <v>271.89431518498884</v>
      </c>
      <c r="K14" s="15">
        <f t="shared" si="4"/>
        <v>76.776724460027367</v>
      </c>
      <c r="M14" s="19">
        <v>0.91500000000000004</v>
      </c>
      <c r="N14" s="20">
        <v>100</v>
      </c>
      <c r="O14" s="2">
        <f t="shared" si="5"/>
        <v>53.677945336032614</v>
      </c>
      <c r="P14" s="2">
        <f t="shared" si="10"/>
        <v>0</v>
      </c>
      <c r="Q14" s="2">
        <f>SUM(P$9:P14)</f>
        <v>-53.677945336032614</v>
      </c>
      <c r="R14" s="3">
        <f t="shared" si="6"/>
        <v>0</v>
      </c>
      <c r="S14" s="1">
        <f>Q14*N14-SUMPRODUCT(N$9:N14,P$9:P14)</f>
        <v>329.55162661551276</v>
      </c>
      <c r="T14" s="2">
        <f t="shared" si="7"/>
        <v>593.20779627046113</v>
      </c>
      <c r="U14" s="15">
        <f t="shared" si="8"/>
        <v>290.75668545636859</v>
      </c>
      <c r="W14">
        <f t="shared" si="11"/>
        <v>-5.0000000000000044E-2</v>
      </c>
    </row>
    <row r="15" spans="2:23" x14ac:dyDescent="0.2">
      <c r="B15" s="19">
        <v>0.92500000000000004</v>
      </c>
      <c r="C15" s="20">
        <v>90</v>
      </c>
      <c r="D15" s="2">
        <f t="shared" si="0"/>
        <v>11.590982783023509</v>
      </c>
      <c r="E15" s="2">
        <f t="shared" si="1"/>
        <v>144.33025071953156</v>
      </c>
      <c r="F15" s="2">
        <f t="shared" si="9"/>
        <v>18.739099613805823</v>
      </c>
      <c r="G15" s="2">
        <f>SUM(F$9:F15)</f>
        <v>-11.590982783023509</v>
      </c>
      <c r="H15" s="3">
        <f t="shared" si="2"/>
        <v>0</v>
      </c>
      <c r="I15" s="1">
        <f>G15*C15-SUMPRODUCT(C$9:C15,F$9:F15)</f>
        <v>588.53555868879039</v>
      </c>
      <c r="J15" s="2">
        <f t="shared" si="3"/>
        <v>85.753261024823672</v>
      </c>
      <c r="K15" s="15">
        <f t="shared" si="4"/>
        <v>42.286082284008785</v>
      </c>
      <c r="M15" s="19">
        <v>0.92500000000000004</v>
      </c>
      <c r="N15" s="20">
        <v>90</v>
      </c>
      <c r="O15" s="2">
        <f t="shared" si="5"/>
        <v>11.590982783023509</v>
      </c>
      <c r="P15" s="2">
        <f t="shared" si="10"/>
        <v>42.086962553009101</v>
      </c>
      <c r="Q15" s="2">
        <f>SUM(P$9:P15)</f>
        <v>-11.590982783023513</v>
      </c>
      <c r="R15" s="3">
        <f t="shared" si="6"/>
        <v>0</v>
      </c>
      <c r="S15" s="1">
        <f>Q15*N15-SUMPRODUCT(N$9:N15,P$9:P15)</f>
        <v>866.3310799758392</v>
      </c>
      <c r="T15" s="2">
        <f t="shared" si="7"/>
        <v>85.753261024823672</v>
      </c>
      <c r="U15" s="15">
        <f t="shared" si="8"/>
        <v>320.0816035710576</v>
      </c>
      <c r="W15">
        <f t="shared" si="11"/>
        <v>-5.2631578947368474E-2</v>
      </c>
    </row>
    <row r="16" spans="2:23" x14ac:dyDescent="0.2">
      <c r="B16" s="19">
        <v>0.93</v>
      </c>
      <c r="C16" s="20">
        <v>95</v>
      </c>
      <c r="D16" s="2">
        <f t="shared" si="0"/>
        <v>28.690383089712146</v>
      </c>
      <c r="E16" s="2">
        <f t="shared" si="1"/>
        <v>256.80813117901482</v>
      </c>
      <c r="F16" s="2">
        <f t="shared" si="9"/>
        <v>-17.099400306688636</v>
      </c>
      <c r="G16" s="2">
        <f>SUM(F$9:F16)</f>
        <v>-28.690383089712146</v>
      </c>
      <c r="H16" s="3">
        <f t="shared" si="2"/>
        <v>0</v>
      </c>
      <c r="I16" s="1">
        <f>G16*C16-SUMPRODUCT(C$9:C16,F$9:F16)</f>
        <v>530.5806447736727</v>
      </c>
      <c r="J16" s="2">
        <f t="shared" si="3"/>
        <v>247.69700816274957</v>
      </c>
      <c r="K16" s="15">
        <f t="shared" si="4"/>
        <v>146.27491550681702</v>
      </c>
      <c r="M16" s="19">
        <v>0.92500000000000004</v>
      </c>
      <c r="N16" s="20">
        <v>90</v>
      </c>
      <c r="O16" s="2">
        <f t="shared" si="5"/>
        <v>11.590982783023509</v>
      </c>
      <c r="P16" s="2">
        <f t="shared" si="10"/>
        <v>0</v>
      </c>
      <c r="Q16" s="2">
        <f>SUM(P$9:P16)</f>
        <v>-11.590982783023513</v>
      </c>
      <c r="R16" s="3">
        <f t="shared" si="6"/>
        <v>0</v>
      </c>
      <c r="S16" s="1">
        <f>Q16*N16-SUMPRODUCT(N$9:N16,P$9:P16)</f>
        <v>866.3310799758392</v>
      </c>
      <c r="T16" s="2">
        <f t="shared" si="7"/>
        <v>85.753261024823672</v>
      </c>
      <c r="U16" s="15">
        <f t="shared" si="8"/>
        <v>320.0816035710576</v>
      </c>
      <c r="W16">
        <f t="shared" si="11"/>
        <v>5.555555555555558E-2</v>
      </c>
    </row>
    <row r="17" spans="2:23" x14ac:dyDescent="0.2">
      <c r="B17" s="19">
        <v>0.93500000000000005</v>
      </c>
      <c r="C17" s="20">
        <v>100</v>
      </c>
      <c r="D17" s="2">
        <f t="shared" si="0"/>
        <v>53.217344064623774</v>
      </c>
      <c r="E17" s="2">
        <f t="shared" si="1"/>
        <v>304.13935534925974</v>
      </c>
      <c r="F17" s="2">
        <f t="shared" si="9"/>
        <v>-24.526960974911628</v>
      </c>
      <c r="G17" s="2">
        <f>SUM(F$9:F17)</f>
        <v>-53.217344064623774</v>
      </c>
      <c r="H17" s="3">
        <f t="shared" si="2"/>
        <v>0</v>
      </c>
      <c r="I17" s="1">
        <f>G17*C17-SUMPRODUCT(C$9:C17,F$9:F17)</f>
        <v>387.12872932511164</v>
      </c>
      <c r="J17" s="2">
        <f t="shared" si="3"/>
        <v>549.46229363269617</v>
      </c>
      <c r="K17" s="15">
        <f t="shared" si="4"/>
        <v>304.5882855282025</v>
      </c>
      <c r="M17" s="19">
        <v>0.93500000000000005</v>
      </c>
      <c r="N17" s="20">
        <v>100</v>
      </c>
      <c r="O17" s="2">
        <f t="shared" si="5"/>
        <v>53.217344064623774</v>
      </c>
      <c r="P17" s="2">
        <f t="shared" si="10"/>
        <v>-41.626361281600268</v>
      </c>
      <c r="Q17" s="2">
        <f>SUM(P$9:P17)</f>
        <v>-53.217344064623781</v>
      </c>
      <c r="R17" s="3">
        <f t="shared" si="6"/>
        <v>0</v>
      </c>
      <c r="S17" s="1">
        <f>Q17*N17-SUMPRODUCT(N$9:N17,P$9:P17)</f>
        <v>750.42125214560383</v>
      </c>
      <c r="T17" s="2">
        <f t="shared" si="7"/>
        <v>549.46229363269617</v>
      </c>
      <c r="U17" s="15">
        <f t="shared" si="8"/>
        <v>667.8808083486947</v>
      </c>
      <c r="W17">
        <f t="shared" si="11"/>
        <v>5.2631578947368363E-2</v>
      </c>
    </row>
    <row r="18" spans="2:23" x14ac:dyDescent="0.2">
      <c r="B18" s="19">
        <v>0.94</v>
      </c>
      <c r="C18" s="20">
        <v>105</v>
      </c>
      <c r="D18" s="2">
        <f t="shared" si="0"/>
        <v>77.081005030984073</v>
      </c>
      <c r="E18" s="2">
        <f t="shared" si="1"/>
        <v>233.82897034461354</v>
      </c>
      <c r="F18" s="2">
        <f t="shared" si="9"/>
        <v>-23.8636609663603</v>
      </c>
      <c r="G18" s="2">
        <f>SUM(F$9:F18)</f>
        <v>-77.081005030984073</v>
      </c>
      <c r="H18" s="3">
        <f t="shared" si="2"/>
        <v>0</v>
      </c>
      <c r="I18" s="1">
        <f>G18*C18-SUMPRODUCT(C$9:C18,F$9:F18)</f>
        <v>121.04200900199339</v>
      </c>
      <c r="J18" s="2">
        <f t="shared" si="3"/>
        <v>978.84608942656826</v>
      </c>
      <c r="K18" s="15">
        <f t="shared" si="4"/>
        <v>467.88536099895623</v>
      </c>
      <c r="M18" s="19">
        <v>0.93500000000000005</v>
      </c>
      <c r="N18" s="20">
        <v>100</v>
      </c>
      <c r="O18" s="2">
        <f t="shared" si="5"/>
        <v>53.217344064623774</v>
      </c>
      <c r="P18" s="2">
        <f t="shared" si="10"/>
        <v>0</v>
      </c>
      <c r="Q18" s="2">
        <f>SUM(P$9:P18)</f>
        <v>-53.217344064623781</v>
      </c>
      <c r="R18" s="3">
        <f t="shared" si="6"/>
        <v>0</v>
      </c>
      <c r="S18" s="1">
        <f>Q18*N18-SUMPRODUCT(N$9:N18,P$9:P18)</f>
        <v>750.42125214560383</v>
      </c>
      <c r="T18" s="2">
        <f t="shared" si="7"/>
        <v>549.46229363269617</v>
      </c>
      <c r="U18" s="15">
        <f t="shared" si="8"/>
        <v>667.8808083486947</v>
      </c>
      <c r="W18">
        <f t="shared" si="11"/>
        <v>5.0000000000000044E-2</v>
      </c>
    </row>
    <row r="19" spans="2:23" x14ac:dyDescent="0.2">
      <c r="B19" s="19">
        <v>0.94499999999999995</v>
      </c>
      <c r="C19" s="20">
        <v>110</v>
      </c>
      <c r="D19" s="2">
        <f t="shared" si="0"/>
        <v>92.348995357047286</v>
      </c>
      <c r="E19" s="2">
        <f t="shared" si="1"/>
        <v>111.22848543573896</v>
      </c>
      <c r="F19" s="2">
        <f t="shared" si="9"/>
        <v>-15.267990326063213</v>
      </c>
      <c r="G19" s="2">
        <f>SUM(F$9:F19)</f>
        <v>-92.348995357047286</v>
      </c>
      <c r="H19" s="3">
        <f t="shared" si="2"/>
        <v>0</v>
      </c>
      <c r="I19" s="1">
        <f>G19*C19-SUMPRODUCT(C$9:C19,F$9:F19)</f>
        <v>-264.36301615292723</v>
      </c>
      <c r="J19" s="2">
        <f t="shared" si="3"/>
        <v>1474.9822663394057</v>
      </c>
      <c r="K19" s="15">
        <f t="shared" si="4"/>
        <v>578.61651275687314</v>
      </c>
      <c r="M19" s="19">
        <v>0.94499999999999995</v>
      </c>
      <c r="N19" s="20">
        <v>110</v>
      </c>
      <c r="O19" s="2">
        <f t="shared" si="5"/>
        <v>92.348995357047286</v>
      </c>
      <c r="P19" s="2">
        <f t="shared" si="10"/>
        <v>-39.131651292423513</v>
      </c>
      <c r="Q19" s="2">
        <f>SUM(P$9:P19)</f>
        <v>-92.348995357047301</v>
      </c>
      <c r="R19" s="3">
        <f t="shared" si="6"/>
        <v>0</v>
      </c>
      <c r="S19" s="1">
        <f>Q19*N19-SUMPRODUCT(N$9:N19,P$9:P19)</f>
        <v>218.24781149936462</v>
      </c>
      <c r="T19" s="2">
        <f t="shared" si="7"/>
        <v>1474.9822663394057</v>
      </c>
      <c r="U19" s="15">
        <f t="shared" si="8"/>
        <v>1061.227340409165</v>
      </c>
      <c r="W19">
        <f t="shared" si="11"/>
        <v>4.7619047619047672E-2</v>
      </c>
    </row>
    <row r="20" spans="2:23" x14ac:dyDescent="0.2">
      <c r="B20" s="19">
        <v>0.95</v>
      </c>
      <c r="C20" s="20">
        <v>105</v>
      </c>
      <c r="D20" s="2">
        <f t="shared" si="0"/>
        <v>78.760236985157945</v>
      </c>
      <c r="E20" s="2">
        <f t="shared" si="1"/>
        <v>204.35273574621266</v>
      </c>
      <c r="F20" s="2">
        <f t="shared" si="9"/>
        <v>13.588758371889341</v>
      </c>
      <c r="G20" s="2">
        <f>SUM(F$9:F20)</f>
        <v>-78.760236985157945</v>
      </c>
      <c r="H20" s="3">
        <f t="shared" si="2"/>
        <v>0</v>
      </c>
      <c r="I20" s="1">
        <f>G20*C20-SUMPRODUCT(C$9:C20,F$9:F20)</f>
        <v>197.38196063230862</v>
      </c>
      <c r="J20" s="2">
        <f t="shared" si="3"/>
        <v>967.9503754031316</v>
      </c>
      <c r="K20" s="15">
        <f t="shared" si="4"/>
        <v>533.32959860583492</v>
      </c>
      <c r="M20" s="19">
        <v>0.94499999999999995</v>
      </c>
      <c r="N20" s="20">
        <v>110</v>
      </c>
      <c r="O20" s="2">
        <f t="shared" si="5"/>
        <v>92.348995357047286</v>
      </c>
      <c r="P20" s="2">
        <f t="shared" si="10"/>
        <v>0</v>
      </c>
      <c r="Q20" s="2">
        <f>SUM(P$9:P20)</f>
        <v>-92.348995357047301</v>
      </c>
      <c r="R20" s="3">
        <f t="shared" si="6"/>
        <v>0</v>
      </c>
      <c r="S20" s="1">
        <f>Q20*N20-SUMPRODUCT(N$9:N20,P$9:P20)</f>
        <v>218.24781149936462</v>
      </c>
      <c r="T20" s="2">
        <f t="shared" si="7"/>
        <v>1474.9822663394057</v>
      </c>
      <c r="U20" s="15">
        <f t="shared" si="8"/>
        <v>1061.227340409165</v>
      </c>
      <c r="W20">
        <f t="shared" si="11"/>
        <v>-4.5454545454545414E-2</v>
      </c>
    </row>
    <row r="21" spans="2:23" x14ac:dyDescent="0.2">
      <c r="B21" s="19">
        <v>0.95499999999999996</v>
      </c>
      <c r="C21" s="20">
        <v>100</v>
      </c>
      <c r="D21" s="2">
        <f t="shared" si="0"/>
        <v>52.677886376849138</v>
      </c>
      <c r="E21" s="2">
        <f t="shared" si="1"/>
        <v>253.31312959662395</v>
      </c>
      <c r="F21" s="2">
        <f t="shared" si="9"/>
        <v>26.082350608308808</v>
      </c>
      <c r="G21" s="2">
        <f>SUM(F$9:F21)</f>
        <v>-52.677886376849138</v>
      </c>
      <c r="H21" s="3">
        <f t="shared" si="2"/>
        <v>0</v>
      </c>
      <c r="I21" s="1">
        <f>G21*C21-SUMPRODUCT(C$9:C21,F$9:F21)</f>
        <v>591.18314555809866</v>
      </c>
      <c r="J21" s="2">
        <f t="shared" si="3"/>
        <v>498.22469981136237</v>
      </c>
      <c r="K21" s="15">
        <f t="shared" si="4"/>
        <v>457.40510793985572</v>
      </c>
      <c r="M21" s="19">
        <v>0.95499999999999996</v>
      </c>
      <c r="N21" s="20">
        <v>100</v>
      </c>
      <c r="O21" s="2">
        <f t="shared" si="5"/>
        <v>52.677886376849138</v>
      </c>
      <c r="P21" s="2">
        <f t="shared" si="10"/>
        <v>39.671108980198149</v>
      </c>
      <c r="Q21" s="2">
        <f>SUM(P$9:P21)</f>
        <v>-52.677886376849152</v>
      </c>
      <c r="R21" s="3">
        <f t="shared" si="6"/>
        <v>0</v>
      </c>
      <c r="S21" s="1">
        <f>Q21*N21-SUMPRODUCT(N$9:N21,P$9:P21)</f>
        <v>1141.7377650698372</v>
      </c>
      <c r="T21" s="2">
        <f t="shared" si="7"/>
        <v>498.22469981136237</v>
      </c>
      <c r="U21" s="15">
        <f t="shared" si="8"/>
        <v>1007.9597274515943</v>
      </c>
      <c r="W21">
        <f t="shared" si="11"/>
        <v>-4.7619047619047672E-2</v>
      </c>
    </row>
    <row r="22" spans="2:23" x14ac:dyDescent="0.2">
      <c r="B22" s="19">
        <v>0.96</v>
      </c>
      <c r="C22" s="20">
        <v>95</v>
      </c>
      <c r="D22" s="2">
        <f t="shared" si="0"/>
        <v>21.431012453444389</v>
      </c>
      <c r="E22" s="2">
        <f t="shared" si="1"/>
        <v>166.23762532896623</v>
      </c>
      <c r="F22" s="2">
        <f t="shared" si="9"/>
        <v>31.246873923404749</v>
      </c>
      <c r="G22" s="2">
        <f>SUM(F$9:F22)</f>
        <v>-21.431012453444389</v>
      </c>
      <c r="H22" s="3">
        <f t="shared" si="2"/>
        <v>0</v>
      </c>
      <c r="I22" s="1">
        <f>G22*C22-SUMPRODUCT(C$9:C22,F$9:F22)</f>
        <v>854.57257744234403</v>
      </c>
      <c r="J22" s="2">
        <f t="shared" si="3"/>
        <v>159.83079290289055</v>
      </c>
      <c r="K22" s="15">
        <f t="shared" si="4"/>
        <v>382.40063291562933</v>
      </c>
      <c r="M22" s="19">
        <v>0.95499999999999996</v>
      </c>
      <c r="N22" s="20">
        <v>100</v>
      </c>
      <c r="O22" s="2">
        <f t="shared" si="5"/>
        <v>52.677886376849138</v>
      </c>
      <c r="P22" s="2">
        <f t="shared" si="10"/>
        <v>0</v>
      </c>
      <c r="Q22" s="2">
        <f>SUM(P$9:P22)</f>
        <v>-52.677886376849152</v>
      </c>
      <c r="R22" s="3">
        <f t="shared" si="6"/>
        <v>0</v>
      </c>
      <c r="S22" s="1">
        <f>Q22*N22-SUMPRODUCT(N$9:N22,P$9:P22)</f>
        <v>1141.7377650698372</v>
      </c>
      <c r="T22" s="2">
        <f t="shared" si="7"/>
        <v>498.22469981136237</v>
      </c>
      <c r="U22" s="15">
        <f t="shared" si="8"/>
        <v>1007.9597274515943</v>
      </c>
      <c r="W22">
        <f t="shared" si="11"/>
        <v>-5.0000000000000044E-2</v>
      </c>
    </row>
    <row r="23" spans="2:23" x14ac:dyDescent="0.2">
      <c r="B23" s="19">
        <v>0.96499999999999997</v>
      </c>
      <c r="C23" s="20">
        <v>90</v>
      </c>
      <c r="D23" s="2">
        <f t="shared" si="0"/>
        <v>3.4531360094814452</v>
      </c>
      <c r="E23" s="2">
        <f t="shared" si="1"/>
        <v>38.601305902588429</v>
      </c>
      <c r="F23" s="2">
        <f t="shared" si="9"/>
        <v>17.977876443962945</v>
      </c>
      <c r="G23" s="2">
        <f>SUM(F$9:F23)</f>
        <v>-3.4531360094814438</v>
      </c>
      <c r="H23" s="3">
        <f t="shared" si="2"/>
        <v>0</v>
      </c>
      <c r="I23" s="1">
        <f>G23*C23-SUMPRODUCT(C$9:C23,F$9:F23)</f>
        <v>961.72763970956612</v>
      </c>
      <c r="J23" s="2">
        <f t="shared" si="3"/>
        <v>21.076074045479885</v>
      </c>
      <c r="K23" s="15">
        <f t="shared" si="4"/>
        <v>350.80097632544073</v>
      </c>
      <c r="M23" s="19">
        <v>0.96499999999999997</v>
      </c>
      <c r="N23" s="20">
        <v>90</v>
      </c>
      <c r="O23" s="2">
        <f t="shared" si="5"/>
        <v>3.4531360094814452</v>
      </c>
      <c r="P23" s="2">
        <f t="shared" si="10"/>
        <v>49.22475036736769</v>
      </c>
      <c r="Q23" s="2">
        <f>SUM(P$9:P23)</f>
        <v>-3.4531360094814616</v>
      </c>
      <c r="R23" s="3">
        <f t="shared" si="6"/>
        <v>-1.6431300764452317E-14</v>
      </c>
      <c r="S23" s="1">
        <f>Q23*N23-SUMPRODUCT(N$9:N23,P$9:P23)</f>
        <v>1668.5166288383293</v>
      </c>
      <c r="T23" s="2">
        <f t="shared" si="7"/>
        <v>21.076074045479885</v>
      </c>
      <c r="U23" s="15">
        <f t="shared" si="8"/>
        <v>1057.5899654542038</v>
      </c>
      <c r="W23">
        <f t="shared" si="11"/>
        <v>-5.2631578947368474E-2</v>
      </c>
    </row>
    <row r="24" spans="2:23" x14ac:dyDescent="0.2">
      <c r="B24" s="19">
        <v>0.97</v>
      </c>
      <c r="C24" s="20">
        <v>95</v>
      </c>
      <c r="D24" s="2">
        <f t="shared" si="0"/>
        <v>17.559291473298309</v>
      </c>
      <c r="E24" s="2">
        <f t="shared" si="1"/>
        <v>127.51996555081209</v>
      </c>
      <c r="F24" s="2">
        <f t="shared" si="9"/>
        <v>-14.106155463816863</v>
      </c>
      <c r="G24" s="2">
        <f>SUM(F$9:F24)</f>
        <v>-17.559291473298309</v>
      </c>
      <c r="H24" s="3">
        <f t="shared" si="2"/>
        <v>0</v>
      </c>
      <c r="I24" s="1">
        <f>G24*C24-SUMPRODUCT(C$9:C24,F$9:F24)</f>
        <v>944.46195966215896</v>
      </c>
      <c r="J24" s="2">
        <f t="shared" si="3"/>
        <v>122.42742355121922</v>
      </c>
      <c r="K24" s="15">
        <f t="shared" si="4"/>
        <v>434.88664578377279</v>
      </c>
      <c r="M24" s="19">
        <v>0.96499999999999997</v>
      </c>
      <c r="N24" s="20">
        <v>90</v>
      </c>
      <c r="O24" s="2">
        <f t="shared" si="5"/>
        <v>3.4531360094814452</v>
      </c>
      <c r="P24" s="2">
        <f t="shared" si="10"/>
        <v>0</v>
      </c>
      <c r="Q24" s="2">
        <f>SUM(P$9:P24)</f>
        <v>-3.4531360094814616</v>
      </c>
      <c r="R24" s="3">
        <f t="shared" si="6"/>
        <v>-1.6431300764452317E-14</v>
      </c>
      <c r="S24" s="1">
        <f>Q24*N24-SUMPRODUCT(N$9:N24,P$9:P24)</f>
        <v>1668.5166288383293</v>
      </c>
      <c r="T24" s="2">
        <f t="shared" si="7"/>
        <v>21.076074045479885</v>
      </c>
      <c r="U24" s="15">
        <f t="shared" si="8"/>
        <v>1057.5899654542038</v>
      </c>
      <c r="W24">
        <f t="shared" si="11"/>
        <v>5.555555555555558E-2</v>
      </c>
    </row>
    <row r="25" spans="2:23" x14ac:dyDescent="0.2">
      <c r="B25" s="19">
        <v>0.97499999999999998</v>
      </c>
      <c r="C25" s="20">
        <v>100</v>
      </c>
      <c r="D25" s="2">
        <f>100*NORMDIST((LN($C25/$C$4)+($C$2+($C$3^2)/2)*($C$5-$B25))/($C$3*SQRT($C$5-$B25)),0,1,TRUE)</f>
        <v>51.996645631819646</v>
      </c>
      <c r="E25" s="2">
        <f t="shared" si="1"/>
        <v>188.99788701198571</v>
      </c>
      <c r="F25" s="2">
        <f t="shared" si="9"/>
        <v>-34.437354158521337</v>
      </c>
      <c r="G25" s="2">
        <f>SUM(F$9:F25)</f>
        <v>-51.996645631819646</v>
      </c>
      <c r="H25" s="3">
        <f t="shared" si="2"/>
        <v>0</v>
      </c>
      <c r="I25" s="1">
        <f>G25*C25-SUMPRODUCT(C$9:C25,F$9:F25)</f>
        <v>856.66550229566747</v>
      </c>
      <c r="J25" s="2">
        <f t="shared" si="3"/>
        <v>433.51712768258108</v>
      </c>
      <c r="K25" s="15">
        <f t="shared" si="4"/>
        <v>658.17989254864324</v>
      </c>
      <c r="M25" s="19">
        <v>0.97499999999999998</v>
      </c>
      <c r="N25" s="20">
        <v>100</v>
      </c>
      <c r="O25" s="2">
        <f t="shared" si="5"/>
        <v>51.996645631819646</v>
      </c>
      <c r="P25" s="2">
        <f t="shared" si="10"/>
        <v>-48.543509622338199</v>
      </c>
      <c r="Q25" s="2">
        <f>SUM(P$9:P25)</f>
        <v>-51.996645631819661</v>
      </c>
      <c r="R25" s="3">
        <f t="shared" si="6"/>
        <v>0</v>
      </c>
      <c r="S25" s="1">
        <f>Q25*N25-SUMPRODUCT(N$9:N25,P$9:P25)</f>
        <v>1633.9852687435141</v>
      </c>
      <c r="T25" s="2">
        <f t="shared" si="7"/>
        <v>433.51712768258108</v>
      </c>
      <c r="U25" s="15">
        <f t="shared" si="8"/>
        <v>1435.4996589964901</v>
      </c>
      <c r="W25">
        <f t="shared" si="11"/>
        <v>5.2631578947368363E-2</v>
      </c>
    </row>
    <row r="26" spans="2:23" x14ac:dyDescent="0.2">
      <c r="B26" s="19">
        <v>0.98</v>
      </c>
      <c r="C26" s="20">
        <v>105</v>
      </c>
      <c r="D26" s="2">
        <f t="shared" si="0"/>
        <v>88.391323360112622</v>
      </c>
      <c r="E26" s="2">
        <f t="shared" si="1"/>
        <v>87.048001822785878</v>
      </c>
      <c r="F26" s="2">
        <f t="shared" si="9"/>
        <v>-36.394677728292976</v>
      </c>
      <c r="G26" s="2">
        <f>SUM(F$9:F26)</f>
        <v>-88.391323360112622</v>
      </c>
      <c r="H26" s="3">
        <f t="shared" si="2"/>
        <v>0</v>
      </c>
      <c r="I26" s="1">
        <f>G26*C26-SUMPRODUCT(C$9:C26,F$9:F26)</f>
        <v>596.68227413656859</v>
      </c>
      <c r="J26" s="2">
        <f t="shared" si="3"/>
        <v>953.91416524925171</v>
      </c>
      <c r="K26" s="15">
        <f t="shared" si="4"/>
        <v>918.593701956215</v>
      </c>
      <c r="M26" s="19">
        <v>0.97499999999999998</v>
      </c>
      <c r="N26" s="20">
        <v>100</v>
      </c>
      <c r="O26" s="2">
        <f t="shared" si="5"/>
        <v>51.996645631819646</v>
      </c>
      <c r="P26" s="2">
        <f t="shared" si="10"/>
        <v>0</v>
      </c>
      <c r="Q26" s="2">
        <f>SUM(P$9:P26)</f>
        <v>-51.996645631819661</v>
      </c>
      <c r="R26" s="3">
        <f t="shared" si="6"/>
        <v>0</v>
      </c>
      <c r="S26" s="1">
        <f>Q26*N26-SUMPRODUCT(N$9:N26,P$9:P26)</f>
        <v>1633.9852687435141</v>
      </c>
      <c r="T26" s="2">
        <f t="shared" si="7"/>
        <v>433.51712768258108</v>
      </c>
      <c r="U26" s="15">
        <f t="shared" si="8"/>
        <v>1435.4996589964901</v>
      </c>
      <c r="W26">
        <f t="shared" si="11"/>
        <v>5.0000000000000044E-2</v>
      </c>
    </row>
    <row r="27" spans="2:23" x14ac:dyDescent="0.2">
      <c r="B27" s="19">
        <v>0.98499999999999999</v>
      </c>
      <c r="C27" s="20">
        <v>110</v>
      </c>
      <c r="D27" s="2">
        <f t="shared" si="0"/>
        <v>99.576576665366645</v>
      </c>
      <c r="E27" s="2">
        <f t="shared" si="1"/>
        <v>5.0383251129088613</v>
      </c>
      <c r="F27" s="2">
        <f t="shared" si="9"/>
        <v>-11.185253305254022</v>
      </c>
      <c r="G27" s="2">
        <f>SUM(F$9:F27)</f>
        <v>-99.576576665366645</v>
      </c>
      <c r="H27" s="3">
        <f t="shared" si="2"/>
        <v>0</v>
      </c>
      <c r="I27" s="1">
        <f>G27*C27-SUMPRODUCT(C$9:C27,F$9:F27)</f>
        <v>154.72565733600459</v>
      </c>
      <c r="J27" s="2">
        <f t="shared" si="3"/>
        <v>1485.9800155423814</v>
      </c>
      <c r="K27" s="15">
        <f t="shared" si="4"/>
        <v>1008.7029354487806</v>
      </c>
      <c r="M27" s="19">
        <v>0.98499999999999999</v>
      </c>
      <c r="N27" s="20">
        <v>110</v>
      </c>
      <c r="O27" s="2">
        <f t="shared" si="5"/>
        <v>99.576576665366645</v>
      </c>
      <c r="P27" s="2">
        <f t="shared" si="10"/>
        <v>-47.579931033546998</v>
      </c>
      <c r="Q27" s="2">
        <f>SUM(P$9:P27)</f>
        <v>-99.576576665366659</v>
      </c>
      <c r="R27" s="3">
        <f t="shared" si="6"/>
        <v>0</v>
      </c>
      <c r="S27" s="1">
        <f>Q27*N27-SUMPRODUCT(N$9:N27,P$9:P27)</f>
        <v>1114.0188124253182</v>
      </c>
      <c r="T27" s="2">
        <f t="shared" si="7"/>
        <v>1485.9800155423814</v>
      </c>
      <c r="U27" s="15">
        <f t="shared" si="8"/>
        <v>1967.9960905380942</v>
      </c>
      <c r="W27">
        <f t="shared" si="11"/>
        <v>4.7619047619047672E-2</v>
      </c>
    </row>
    <row r="28" spans="2:23" x14ac:dyDescent="0.2">
      <c r="B28" s="19">
        <v>0.99</v>
      </c>
      <c r="C28" s="20">
        <v>105</v>
      </c>
      <c r="D28" s="2">
        <f t="shared" si="0"/>
        <v>95.13418190813745</v>
      </c>
      <c r="E28" s="2">
        <f t="shared" si="1"/>
        <v>31.789722079873783</v>
      </c>
      <c r="F28" s="2">
        <f t="shared" si="9"/>
        <v>4.4423947572291951</v>
      </c>
      <c r="G28" s="2">
        <f>SUM(F$9:F28)</f>
        <v>-95.13418190813745</v>
      </c>
      <c r="H28" s="3">
        <f t="shared" si="2"/>
        <v>0</v>
      </c>
      <c r="I28" s="1">
        <f>G28*C28-SUMPRODUCT(C$9:C28,F$9:F28)</f>
        <v>652.60854066283719</v>
      </c>
      <c r="J28" s="2">
        <f t="shared" si="3"/>
        <v>969.16892415928123</v>
      </c>
      <c r="K28" s="15">
        <f t="shared" si="4"/>
        <v>989.77472739251311</v>
      </c>
      <c r="M28" s="19">
        <v>0.98499999999999999</v>
      </c>
      <c r="N28" s="20">
        <v>110</v>
      </c>
      <c r="O28" s="2">
        <f t="shared" si="5"/>
        <v>99.576576665366645</v>
      </c>
      <c r="P28" s="2">
        <f t="shared" si="10"/>
        <v>0</v>
      </c>
      <c r="Q28" s="2">
        <f>SUM(P$9:P28)</f>
        <v>-99.576576665366659</v>
      </c>
      <c r="R28" s="3">
        <f t="shared" si="6"/>
        <v>0</v>
      </c>
      <c r="S28" s="1">
        <f>Q28*N28-SUMPRODUCT(N$9:N28,P$9:P28)</f>
        <v>1114.0188124253182</v>
      </c>
      <c r="T28" s="2">
        <f t="shared" si="7"/>
        <v>1485.9800155423814</v>
      </c>
      <c r="U28" s="15">
        <f t="shared" si="8"/>
        <v>1967.9960905380942</v>
      </c>
      <c r="W28">
        <f t="shared" si="11"/>
        <v>-4.5454545454545414E-2</v>
      </c>
    </row>
    <row r="29" spans="2:23" ht="13.5" thickBot="1" x14ac:dyDescent="0.25">
      <c r="B29" s="21">
        <v>0.995</v>
      </c>
      <c r="C29" s="5">
        <v>100</v>
      </c>
      <c r="D29" s="5">
        <f t="shared" si="0"/>
        <v>50.893225531100853</v>
      </c>
      <c r="E29" s="5">
        <f t="shared" si="1"/>
        <v>84.607224312161449</v>
      </c>
      <c r="F29" s="5">
        <f t="shared" si="9"/>
        <v>44.240956377036596</v>
      </c>
      <c r="G29" s="5">
        <f>SUM(F$9:F29)</f>
        <v>-50.893225531100853</v>
      </c>
      <c r="H29" s="6">
        <f t="shared" si="2"/>
        <v>0</v>
      </c>
      <c r="I29" s="4">
        <f>G29*C29-SUMPRODUCT(C$9:C29,F$9:F29)</f>
        <v>1128.2794502035249</v>
      </c>
      <c r="J29" s="5">
        <f t="shared" si="3"/>
        <v>328.70315053453612</v>
      </c>
      <c r="K29" s="16">
        <f t="shared" si="4"/>
        <v>824.97986330845583</v>
      </c>
      <c r="M29" s="19">
        <v>0.995</v>
      </c>
      <c r="N29" s="22">
        <v>100</v>
      </c>
      <c r="O29" s="5">
        <f t="shared" si="5"/>
        <v>50.893225531100853</v>
      </c>
      <c r="P29" s="5">
        <f t="shared" si="10"/>
        <v>48.683351134265791</v>
      </c>
      <c r="Q29" s="5">
        <f>SUM(P$9:P29)</f>
        <v>-50.893225531100867</v>
      </c>
      <c r="R29" s="6">
        <f t="shared" si="6"/>
        <v>0</v>
      </c>
      <c r="S29" s="4">
        <f>Q29*N29-SUMPRODUCT(N$9:N29,P$9:P29)</f>
        <v>2109.7845790789834</v>
      </c>
      <c r="T29" s="5">
        <f t="shared" si="7"/>
        <v>328.70315053453612</v>
      </c>
      <c r="U29" s="16">
        <f t="shared" si="8"/>
        <v>1806.4849921839143</v>
      </c>
      <c r="W29">
        <f t="shared" si="11"/>
        <v>-4.7619047619047672E-2</v>
      </c>
    </row>
  </sheetData>
  <mergeCells count="2">
    <mergeCell ref="B7:K7"/>
    <mergeCell ref="M7:U7"/>
  </mergeCells>
  <phoneticPr fontId="4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4" enableFormatConditionsCalculation="0"/>
  <dimension ref="B1:M29"/>
  <sheetViews>
    <sheetView workbookViewId="0"/>
  </sheetViews>
  <sheetFormatPr defaultColWidth="11" defaultRowHeight="12.75" x14ac:dyDescent="0.2"/>
  <cols>
    <col min="3" max="11" width="8.25" customWidth="1"/>
    <col min="12" max="12" width="8.875" customWidth="1"/>
  </cols>
  <sheetData>
    <row r="1" spans="2:13" ht="13.5" thickBot="1" x14ac:dyDescent="0.25"/>
    <row r="2" spans="2:13" x14ac:dyDescent="0.2">
      <c r="B2" s="8" t="s">
        <v>7</v>
      </c>
      <c r="C2" s="9">
        <v>0.05</v>
      </c>
      <c r="E2" s="28"/>
    </row>
    <row r="3" spans="2:13" x14ac:dyDescent="0.2">
      <c r="B3" s="10" t="s">
        <v>8</v>
      </c>
      <c r="C3" s="11">
        <v>0.2</v>
      </c>
    </row>
    <row r="4" spans="2:13" x14ac:dyDescent="0.2">
      <c r="B4" s="10" t="s">
        <v>0</v>
      </c>
      <c r="C4" s="11">
        <v>100</v>
      </c>
    </row>
    <row r="5" spans="2:13" ht="13.5" thickBot="1" x14ac:dyDescent="0.25">
      <c r="B5" s="12" t="s">
        <v>1</v>
      </c>
      <c r="C5" s="13">
        <v>1</v>
      </c>
    </row>
    <row r="6" spans="2:13" x14ac:dyDescent="0.2">
      <c r="B6" s="1"/>
      <c r="C6" s="1"/>
    </row>
    <row r="7" spans="2:13" ht="13.5" thickBot="1" x14ac:dyDescent="0.25">
      <c r="B7" s="33" t="s">
        <v>15</v>
      </c>
      <c r="C7" s="33"/>
      <c r="D7" s="33"/>
      <c r="E7" s="33"/>
      <c r="F7" s="33"/>
      <c r="G7" s="33"/>
      <c r="H7" s="33"/>
      <c r="I7" s="33"/>
      <c r="J7" s="33"/>
      <c r="K7" s="33"/>
    </row>
    <row r="8" spans="2:13" ht="13.5" thickBot="1" x14ac:dyDescent="0.25">
      <c r="B8" s="17" t="s">
        <v>2</v>
      </c>
      <c r="C8" s="18" t="s">
        <v>3</v>
      </c>
      <c r="D8" s="7" t="s">
        <v>4</v>
      </c>
      <c r="E8" s="7" t="s">
        <v>16</v>
      </c>
      <c r="F8" s="7" t="s">
        <v>6</v>
      </c>
      <c r="G8" s="7" t="s">
        <v>5</v>
      </c>
      <c r="H8" s="7" t="s">
        <v>9</v>
      </c>
      <c r="I8" s="7" t="s">
        <v>11</v>
      </c>
      <c r="J8" s="7" t="s">
        <v>10</v>
      </c>
      <c r="K8" s="14" t="s">
        <v>13</v>
      </c>
      <c r="L8" s="27" t="s">
        <v>39</v>
      </c>
      <c r="M8" s="27"/>
    </row>
    <row r="9" spans="2:13" x14ac:dyDescent="0.2">
      <c r="B9" s="19">
        <v>0</v>
      </c>
      <c r="C9" s="20">
        <v>100</v>
      </c>
      <c r="D9" s="2">
        <f>100*NORMDIST((LN($C9/$C$4)+($C$2+($C$3^2)/2)*($C$5-$B9))/($C$3*SQRT($C$5-$B9)),0,1,TRUE)</f>
        <v>63.68306511756191</v>
      </c>
      <c r="E9" s="2">
        <f>100*NORMDIST((LN($C9/$C$4)+($C$2+($C$3^2)/2)*($C$5-$B9))/($C$3*SQRT($C$5-$B9)),0,1,FALSE)*($C9*$C$3*SQRT($C$5-$B9))</f>
        <v>750.48069383387588</v>
      </c>
      <c r="F9" s="2">
        <f>-D9</f>
        <v>-63.68306511756191</v>
      </c>
      <c r="G9" s="2">
        <f>SUM(F$9:F9)</f>
        <v>-63.68306511756191</v>
      </c>
      <c r="H9" s="3">
        <f>G9+D9</f>
        <v>0</v>
      </c>
      <c r="I9" s="1">
        <f>G9*C9-SUMPRODUCT(C$9:C9,F$9:F9)</f>
        <v>0</v>
      </c>
      <c r="J9" s="2">
        <f>100*($C9*NORMDIST((LN($C9/$C$4)+($C$2+($C$3^2)/2)*($C$5-$B9))/($C$3*SQRT($C$5-$B9)),0,1,TRUE)-$C$4*EXP(-$C$2)*NORMDIST((LN($C9/$C$4)+($C$2-($C$3^2)/2)*($C$5-$B9))/($C$3*SQRT($C$5-$B9)),0,1,TRUE))</f>
        <v>1045.0583572185565</v>
      </c>
      <c r="K9" s="15">
        <f>I9+J9-$J$9</f>
        <v>0</v>
      </c>
      <c r="L9">
        <f>-NORMDIST((LN($C9/$C$4)+($C$2+($C$3^2)/2)*($C$5-$B9))/($C$3*SQRT($C$5-$B9)),0,1,FALSE)*$C$3/(2*SQRT($C$5-$B9))-$C$2*$C$4*EXP(-$C$2*($C$5-$B9))*NORMDIST((LN($C9/$C$4)+($C$2-($C$3^2)/2)*($C$5-$B9))/($C$3*SQRT($C$5-$B9)),0,1,FALSE)</f>
        <v>-1.9137257692763836</v>
      </c>
    </row>
    <row r="10" spans="2:13" x14ac:dyDescent="0.2">
      <c r="B10" s="19">
        <v>5.0000000000000001E-3</v>
      </c>
      <c r="C10" s="20">
        <v>100</v>
      </c>
      <c r="D10" s="2">
        <f t="shared" ref="D10:D29" si="0">100*NORMDIST((LN($C10/$C$4)+($C$2+($C$3^2)/2)*($C$5-$B10))/($C$3*SQRT($C$5-$B10)),0,1,TRUE)</f>
        <v>63.650185405815577</v>
      </c>
      <c r="E10" s="2">
        <f t="shared" ref="E10:E29" si="1">100*NORMDIST((LN($C10/$C$4)+($C$2+($C$3^2)/2)*($C$5-$B10))/($C$3*SQRT($C$5-$B10)),0,1,FALSE)*($C10*$C$3*SQRT($C$5-$B10))</f>
        <v>748.83143548020701</v>
      </c>
      <c r="F10" s="2">
        <f>-(D10-D9)</f>
        <v>3.2879711746332418E-2</v>
      </c>
      <c r="G10" s="2">
        <f>SUM(F$9:F10)</f>
        <v>-63.650185405815577</v>
      </c>
      <c r="H10" s="3">
        <f t="shared" ref="H10:H29" si="2">G10+D10</f>
        <v>0</v>
      </c>
      <c r="I10" s="1">
        <f>G10*C10-SUMPRODUCT(C$9:C10,F$9:F10)</f>
        <v>0</v>
      </c>
      <c r="J10" s="2">
        <f t="shared" ref="J10:J29" si="3">100*($C10*NORMDIST((LN($C10/$C$4)+($C$2+($C$3^2)/2)*($C$5-$B10))/($C$3*SQRT($C$5-$B10)),0,1,TRUE)-$C$4*EXP(-$C$2)*NORMDIST((LN($C10/$C$4)+($C$2-($C$3^2)/2)*($C$5-$B10))/($C$3*SQRT($C$5-$B10)),0,1,TRUE))</f>
        <v>1043.1793403381462</v>
      </c>
      <c r="K10" s="15">
        <f t="shared" ref="K10:K29" si="4">I10+J10-$J$9</f>
        <v>-1.8790168804102905</v>
      </c>
      <c r="L10">
        <f t="shared" ref="L10:L29" si="5">-NORMDIST((LN($C10/$C$4)+($C$2+($C$3^2)/2)*($C$5-$B10))/($C$3*SQRT($C$5-$B10)),0,1,FALSE)*$C$3/(2*SQRT($C$5-$B10))-$C$2*$C$4*EXP(-$C$2*($C$5-$B10))*NORMDIST((LN($C10/$C$4)+($C$2-($C$3^2)/2)*($C$5-$B10))/($C$3*SQRT($C$5-$B10)),0,1,FALSE)</f>
        <v>-1.9144061297343791</v>
      </c>
    </row>
    <row r="11" spans="2:13" x14ac:dyDescent="0.2">
      <c r="B11" s="19">
        <v>0.01</v>
      </c>
      <c r="C11" s="20">
        <v>100</v>
      </c>
      <c r="D11" s="2">
        <f t="shared" si="0"/>
        <v>63.617212881120899</v>
      </c>
      <c r="E11" s="2">
        <f t="shared" si="1"/>
        <v>747.17636755556202</v>
      </c>
      <c r="F11" s="2">
        <f t="shared" ref="F11:F29" si="6">-(D11-D10)</f>
        <v>3.2972524694677929E-2</v>
      </c>
      <c r="G11" s="2">
        <f>SUM(F$9:F11)</f>
        <v>-63.617212881120899</v>
      </c>
      <c r="H11" s="3">
        <f t="shared" si="2"/>
        <v>0</v>
      </c>
      <c r="I11" s="1">
        <f>G11*C11-SUMPRODUCT(C$9:C11,F$9:F11)</f>
        <v>0</v>
      </c>
      <c r="J11" s="2">
        <f t="shared" si="3"/>
        <v>1041.2946661741885</v>
      </c>
      <c r="K11" s="15">
        <f t="shared" si="4"/>
        <v>-3.7636910443679881</v>
      </c>
      <c r="L11">
        <f t="shared" si="5"/>
        <v>-1.9150874403329647</v>
      </c>
    </row>
    <row r="12" spans="2:13" x14ac:dyDescent="0.2">
      <c r="B12" s="19">
        <v>1.4999999999999999E-2</v>
      </c>
      <c r="C12" s="20">
        <v>100</v>
      </c>
      <c r="D12" s="2">
        <f t="shared" si="0"/>
        <v>63.584146861882871</v>
      </c>
      <c r="E12" s="2">
        <f t="shared" si="1"/>
        <v>745.5154493262495</v>
      </c>
      <c r="F12" s="2">
        <f t="shared" si="6"/>
        <v>3.3066019238027877E-2</v>
      </c>
      <c r="G12" s="2">
        <f>SUM(F$9:F12)</f>
        <v>-63.584146861882871</v>
      </c>
      <c r="H12" s="3">
        <f t="shared" si="2"/>
        <v>0</v>
      </c>
      <c r="I12" s="1">
        <f>G12*C12-SUMPRODUCT(C$9:C12,F$9:F12)</f>
        <v>0</v>
      </c>
      <c r="J12" s="2">
        <f t="shared" si="3"/>
        <v>1039.4042938603213</v>
      </c>
      <c r="K12" s="15">
        <f t="shared" si="4"/>
        <v>-5.6540633582351347</v>
      </c>
      <c r="L12">
        <f t="shared" si="5"/>
        <v>-1.9157697108469749</v>
      </c>
    </row>
    <row r="13" spans="2:13" x14ac:dyDescent="0.2">
      <c r="B13" s="19">
        <v>0.02</v>
      </c>
      <c r="C13" s="20">
        <v>100</v>
      </c>
      <c r="D13" s="2">
        <f t="shared" si="0"/>
        <v>63.550986657925421</v>
      </c>
      <c r="E13" s="2">
        <f t="shared" si="1"/>
        <v>743.84863955567835</v>
      </c>
      <c r="F13" s="2">
        <f t="shared" si="6"/>
        <v>3.3160203957450562E-2</v>
      </c>
      <c r="G13" s="2">
        <f>SUM(F$9:F13)</f>
        <v>-63.550986657925421</v>
      </c>
      <c r="H13" s="3">
        <f t="shared" si="2"/>
        <v>0</v>
      </c>
      <c r="I13" s="1">
        <f>G13*C13-SUMPRODUCT(C$9:C13,F$9:F13)</f>
        <v>0</v>
      </c>
      <c r="J13" s="2">
        <f t="shared" si="3"/>
        <v>1037.5081820183468</v>
      </c>
      <c r="K13" s="15">
        <f t="shared" si="4"/>
        <v>-7.5501752002096509</v>
      </c>
      <c r="L13">
        <f t="shared" si="5"/>
        <v>-1.9164529512239925</v>
      </c>
    </row>
    <row r="14" spans="2:13" x14ac:dyDescent="0.2">
      <c r="B14" s="19">
        <v>2.5000000000000001E-2</v>
      </c>
      <c r="C14" s="20">
        <v>100</v>
      </c>
      <c r="D14" s="2">
        <f t="shared" si="0"/>
        <v>63.517731570338483</v>
      </c>
      <c r="E14" s="2">
        <f t="shared" si="1"/>
        <v>742.17589649546755</v>
      </c>
      <c r="F14" s="2">
        <f t="shared" si="6"/>
        <v>3.3255087586937293E-2</v>
      </c>
      <c r="G14" s="2">
        <f>SUM(F$9:F14)</f>
        <v>-63.517731570338483</v>
      </c>
      <c r="H14" s="3">
        <f t="shared" si="2"/>
        <v>0</v>
      </c>
      <c r="I14" s="1">
        <f>G14*C14-SUMPRODUCT(C$9:C14,F$9:F14)</f>
        <v>0</v>
      </c>
      <c r="J14" s="2">
        <f t="shared" si="3"/>
        <v>1035.6062887491275</v>
      </c>
      <c r="K14" s="15">
        <f t="shared" si="4"/>
        <v>-9.452068469428923</v>
      </c>
      <c r="L14">
        <f t="shared" si="5"/>
        <v>-1.9171371715883141</v>
      </c>
    </row>
    <row r="15" spans="2:13" x14ac:dyDescent="0.2">
      <c r="B15" s="19">
        <v>0.03</v>
      </c>
      <c r="C15" s="20">
        <v>100</v>
      </c>
      <c r="D15" s="2">
        <f t="shared" si="0"/>
        <v>63.484380891321692</v>
      </c>
      <c r="E15" s="2">
        <f t="shared" si="1"/>
        <v>740.49717787635063</v>
      </c>
      <c r="F15" s="2">
        <f t="shared" si="6"/>
        <v>3.3350679016791673E-2</v>
      </c>
      <c r="G15" s="2">
        <f>SUM(F$9:F15)</f>
        <v>-63.484380891321692</v>
      </c>
      <c r="H15" s="3">
        <f t="shared" si="2"/>
        <v>0</v>
      </c>
      <c r="I15" s="1">
        <f>G15*C15-SUMPRODUCT(C$9:C15,F$9:F15)</f>
        <v>0</v>
      </c>
      <c r="J15" s="2">
        <f t="shared" si="3"/>
        <v>1033.6985716232803</v>
      </c>
      <c r="K15" s="15">
        <f t="shared" si="4"/>
        <v>-11.359785595276207</v>
      </c>
      <c r="L15">
        <f t="shared" si="5"/>
        <v>-1.9178223822450426</v>
      </c>
    </row>
    <row r="16" spans="2:13" x14ac:dyDescent="0.2">
      <c r="B16" s="19">
        <v>3.5000000000000003E-2</v>
      </c>
      <c r="C16" s="20">
        <v>100</v>
      </c>
      <c r="D16" s="2">
        <f t="shared" si="0"/>
        <v>63.450933904024232</v>
      </c>
      <c r="E16" s="2">
        <f t="shared" si="1"/>
        <v>738.81244089887264</v>
      </c>
      <c r="F16" s="2">
        <f t="shared" si="6"/>
        <v>3.344698729745943E-2</v>
      </c>
      <c r="G16" s="2">
        <f>SUM(F$9:F16)</f>
        <v>-63.450933904024232</v>
      </c>
      <c r="H16" s="3">
        <f t="shared" si="2"/>
        <v>0</v>
      </c>
      <c r="I16" s="1">
        <f>G16*C16-SUMPRODUCT(C$9:C16,F$9:F16)</f>
        <v>0</v>
      </c>
      <c r="J16" s="2">
        <f t="shared" si="3"/>
        <v>1031.784987671648</v>
      </c>
      <c r="K16" s="15">
        <f t="shared" si="4"/>
        <v>-13.273369546908498</v>
      </c>
      <c r="L16">
        <f t="shared" si="5"/>
        <v>-1.9185085936842823</v>
      </c>
    </row>
    <row r="17" spans="2:12" x14ac:dyDescent="0.2">
      <c r="B17" s="19">
        <v>0.04</v>
      </c>
      <c r="C17" s="20">
        <v>100</v>
      </c>
      <c r="D17" s="2">
        <f t="shared" si="0"/>
        <v>63.417389882381272</v>
      </c>
      <c r="E17" s="2">
        <f t="shared" si="1"/>
        <v>737.12164222386673</v>
      </c>
      <c r="F17" s="2">
        <f t="shared" si="6"/>
        <v>3.3544021642960331E-2</v>
      </c>
      <c r="G17" s="2">
        <f>SUM(F$9:F17)</f>
        <v>-63.417389882381272</v>
      </c>
      <c r="H17" s="3">
        <f t="shared" si="2"/>
        <v>0</v>
      </c>
      <c r="I17" s="1">
        <f>G17*C17-SUMPRODUCT(C$9:C17,F$9:F17)</f>
        <v>0</v>
      </c>
      <c r="J17" s="2">
        <f t="shared" si="3"/>
        <v>1029.8654933755565</v>
      </c>
      <c r="K17" s="15">
        <f t="shared" si="4"/>
        <v>-15.192863842999941</v>
      </c>
      <c r="L17">
        <f t="shared" si="5"/>
        <v>-1.9191958165854652</v>
      </c>
    </row>
    <row r="18" spans="2:12" x14ac:dyDescent="0.2">
      <c r="B18" s="19">
        <v>4.4999999999999998E-2</v>
      </c>
      <c r="C18" s="20">
        <v>100</v>
      </c>
      <c r="D18" s="2">
        <f t="shared" si="0"/>
        <v>63.383748090946213</v>
      </c>
      <c r="E18" s="2">
        <f t="shared" si="1"/>
        <v>735.42473796271406</v>
      </c>
      <c r="F18" s="2">
        <f t="shared" si="6"/>
        <v>3.3641791435059076E-2</v>
      </c>
      <c r="G18" s="2">
        <f>SUM(F$9:F18)</f>
        <v>-63.383748090946213</v>
      </c>
      <c r="H18" s="3">
        <f t="shared" si="2"/>
        <v>0</v>
      </c>
      <c r="I18" s="1">
        <f>G18*C18-SUMPRODUCT(C$9:C18,F$9:F18)</f>
        <v>0</v>
      </c>
      <c r="J18" s="2">
        <f t="shared" si="3"/>
        <v>1027.9400446568445</v>
      </c>
      <c r="K18" s="15">
        <f t="shared" si="4"/>
        <v>-17.118312561711946</v>
      </c>
      <c r="L18">
        <f t="shared" si="5"/>
        <v>-1.9198840618217943</v>
      </c>
    </row>
    <row r="19" spans="2:12" x14ac:dyDescent="0.2">
      <c r="B19" s="19">
        <v>0.05</v>
      </c>
      <c r="C19" s="20">
        <v>100</v>
      </c>
      <c r="D19" s="2">
        <f t="shared" si="0"/>
        <v>63.350007784719288</v>
      </c>
      <c r="E19" s="2">
        <f t="shared" si="1"/>
        <v>733.72168366737003</v>
      </c>
      <c r="F19" s="2">
        <f t="shared" si="6"/>
        <v>3.3740306226924588E-2</v>
      </c>
      <c r="G19" s="2">
        <f>SUM(F$9:F19)</f>
        <v>-63.350007784719288</v>
      </c>
      <c r="H19" s="3">
        <f t="shared" si="2"/>
        <v>0</v>
      </c>
      <c r="I19" s="1">
        <f>G19*C19-SUMPRODUCT(C$9:C19,F$9:F19)</f>
        <v>0</v>
      </c>
      <c r="J19" s="2">
        <f t="shared" si="3"/>
        <v>1026.0085968676472</v>
      </c>
      <c r="K19" s="15">
        <f t="shared" si="4"/>
        <v>-19.04976035090931</v>
      </c>
      <c r="L19">
        <f t="shared" si="5"/>
        <v>-1.920573340464818</v>
      </c>
    </row>
    <row r="20" spans="2:12" x14ac:dyDescent="0.2">
      <c r="B20" s="19">
        <v>5.5E-2</v>
      </c>
      <c r="C20" s="20">
        <v>100</v>
      </c>
      <c r="D20" s="2">
        <f t="shared" si="0"/>
        <v>63.316168208971881</v>
      </c>
      <c r="E20" s="2">
        <f t="shared" si="1"/>
        <v>732.01243432015985</v>
      </c>
      <c r="F20" s="2">
        <f t="shared" si="6"/>
        <v>3.383957574740748E-2</v>
      </c>
      <c r="G20" s="2">
        <f>SUM(F$9:F20)</f>
        <v>-63.316168208971881</v>
      </c>
      <c r="H20" s="3">
        <f t="shared" si="2"/>
        <v>0</v>
      </c>
      <c r="I20" s="1">
        <f>G20*C20-SUMPRODUCT(C$9:C20,F$9:F20)</f>
        <v>0</v>
      </c>
      <c r="J20" s="2">
        <f t="shared" si="3"/>
        <v>1024.0711047799487</v>
      </c>
      <c r="K20" s="15">
        <f t="shared" si="4"/>
        <v>-20.987252438607811</v>
      </c>
      <c r="L20">
        <f t="shared" si="5"/>
        <v>-1.9212636637891367</v>
      </c>
    </row>
    <row r="21" spans="2:12" x14ac:dyDescent="0.2">
      <c r="B21" s="19">
        <v>0.06</v>
      </c>
      <c r="C21" s="20">
        <v>100</v>
      </c>
      <c r="D21" s="2">
        <f t="shared" si="0"/>
        <v>63.282228599066812</v>
      </c>
      <c r="E21" s="2">
        <f t="shared" si="1"/>
        <v>730.29694432332872</v>
      </c>
      <c r="F21" s="2">
        <f t="shared" si="6"/>
        <v>3.3939609905068835E-2</v>
      </c>
      <c r="G21" s="2">
        <f>SUM(F$9:F21)</f>
        <v>-63.282228599066812</v>
      </c>
      <c r="H21" s="3">
        <f t="shared" si="2"/>
        <v>0</v>
      </c>
      <c r="I21" s="1">
        <f>G21*C21-SUMPRODUCT(C$9:C21,F$9:F21)</f>
        <v>0</v>
      </c>
      <c r="J21" s="2">
        <f t="shared" si="3"/>
        <v>1022.1275225748855</v>
      </c>
      <c r="K21" s="15">
        <f t="shared" si="4"/>
        <v>-22.930834643671005</v>
      </c>
      <c r="L21">
        <f t="shared" si="5"/>
        <v>-1.9219550432772488</v>
      </c>
    </row>
    <row r="22" spans="2:12" x14ac:dyDescent="0.2">
      <c r="B22" s="19">
        <v>6.5000000000000002E-2</v>
      </c>
      <c r="C22" s="20">
        <v>100</v>
      </c>
      <c r="D22" s="2">
        <f t="shared" si="0"/>
        <v>63.248188180274298</v>
      </c>
      <c r="E22" s="2">
        <f t="shared" si="1"/>
        <v>728.57516748834541</v>
      </c>
      <c r="F22" s="2">
        <f t="shared" si="6"/>
        <v>3.4040418792514515E-2</v>
      </c>
      <c r="G22" s="2">
        <f>SUM(F$9:F22)</f>
        <v>-63.248188180274298</v>
      </c>
      <c r="H22" s="3">
        <f t="shared" si="2"/>
        <v>0</v>
      </c>
      <c r="I22" s="1">
        <f>G22*C22-SUMPRODUCT(C$9:C22,F$9:F22)</f>
        <v>0</v>
      </c>
      <c r="J22" s="2">
        <f t="shared" si="3"/>
        <v>1020.1778038317947</v>
      </c>
      <c r="K22" s="15">
        <f t="shared" si="4"/>
        <v>-24.88055338676179</v>
      </c>
      <c r="L22">
        <f t="shared" si="5"/>
        <v>-1.9226474906245339</v>
      </c>
    </row>
    <row r="23" spans="2:12" x14ac:dyDescent="0.2">
      <c r="B23" s="19">
        <v>7.0000000000000007E-2</v>
      </c>
      <c r="C23" s="20">
        <v>100</v>
      </c>
      <c r="D23" s="2">
        <f t="shared" si="0"/>
        <v>63.214046167583369</v>
      </c>
      <c r="E23" s="2">
        <f t="shared" si="1"/>
        <v>726.8470570249483</v>
      </c>
      <c r="F23" s="2">
        <f t="shared" si="6"/>
        <v>3.4142012690928425E-2</v>
      </c>
      <c r="G23" s="2">
        <f>SUM(F$9:F23)</f>
        <v>-63.214046167583369</v>
      </c>
      <c r="H23" s="3">
        <f t="shared" si="2"/>
        <v>0</v>
      </c>
      <c r="I23" s="1">
        <f>G23*C23-SUMPRODUCT(C$9:C23,F$9:F23)</f>
        <v>0</v>
      </c>
      <c r="J23" s="2">
        <f t="shared" si="3"/>
        <v>1018.2219015169849</v>
      </c>
      <c r="K23" s="15">
        <f t="shared" si="4"/>
        <v>-26.836455701571595</v>
      </c>
      <c r="L23">
        <f t="shared" si="5"/>
        <v>-1.9233410177443873</v>
      </c>
    </row>
    <row r="24" spans="2:12" x14ac:dyDescent="0.2">
      <c r="B24" s="19">
        <v>7.4999999999999997E-2</v>
      </c>
      <c r="C24" s="20">
        <v>100</v>
      </c>
      <c r="D24" s="2">
        <f t="shared" si="0"/>
        <v>63.179801765508905</v>
      </c>
      <c r="E24" s="2">
        <f t="shared" si="1"/>
        <v>725.11256552992745</v>
      </c>
      <c r="F24" s="2">
        <f t="shared" si="6"/>
        <v>3.4244402074463665E-2</v>
      </c>
      <c r="G24" s="2">
        <f>SUM(F$9:F24)</f>
        <v>-63.179801765508905</v>
      </c>
      <c r="H24" s="3">
        <f t="shared" si="2"/>
        <v>0</v>
      </c>
      <c r="I24" s="1">
        <f>G24*C24-SUMPRODUCT(C$9:C24,F$9:F24)</f>
        <v>0</v>
      </c>
      <c r="J24" s="2">
        <f t="shared" si="3"/>
        <v>1016.2597679722616</v>
      </c>
      <c r="K24" s="15">
        <f t="shared" si="4"/>
        <v>-28.79858924629491</v>
      </c>
      <c r="L24">
        <f t="shared" si="5"/>
        <v>-1.9240356367735079</v>
      </c>
    </row>
    <row r="25" spans="2:12" x14ac:dyDescent="0.2">
      <c r="B25" s="19">
        <v>0.08</v>
      </c>
      <c r="C25" s="20">
        <v>100</v>
      </c>
      <c r="D25" s="2">
        <f>100*NORMDIST((LN($C25/$C$4)+($C$2+($C$3^2)/2)*($C$5-$B25))/($C$3*SQRT($C$5-$B25)),0,1,TRUE)</f>
        <v>63.145454167893853</v>
      </c>
      <c r="E25" s="2">
        <f t="shared" si="1"/>
        <v>723.37164497563685</v>
      </c>
      <c r="F25" s="2">
        <f t="shared" si="6"/>
        <v>3.4347597615052905E-2</v>
      </c>
      <c r="G25" s="2">
        <f>SUM(F$9:F25)</f>
        <v>-63.145454167893853</v>
      </c>
      <c r="H25" s="3">
        <f t="shared" si="2"/>
        <v>0</v>
      </c>
      <c r="I25" s="1">
        <f>G25*C25-SUMPRODUCT(C$9:C25,F$9:F25)</f>
        <v>0</v>
      </c>
      <c r="J25" s="2">
        <f t="shared" si="3"/>
        <v>1014.2913549031533</v>
      </c>
      <c r="K25" s="15">
        <f t="shared" si="4"/>
        <v>-30.767002315403147</v>
      </c>
      <c r="L25">
        <f t="shared" si="5"/>
        <v>-1.9247313600773368</v>
      </c>
    </row>
    <row r="26" spans="2:12" x14ac:dyDescent="0.2">
      <c r="B26" s="19">
        <v>8.5000000000000006E-2</v>
      </c>
      <c r="C26" s="20">
        <v>100</v>
      </c>
      <c r="D26" s="2">
        <f t="shared" si="0"/>
        <v>63.111002557706655</v>
      </c>
      <c r="E26" s="2">
        <f t="shared" si="1"/>
        <v>721.6242466982236</v>
      </c>
      <c r="F26" s="2">
        <f t="shared" si="6"/>
        <v>3.4451610187197446E-2</v>
      </c>
      <c r="G26" s="2">
        <f>SUM(F$9:F26)</f>
        <v>-63.111002557706655</v>
      </c>
      <c r="H26" s="3">
        <f t="shared" si="2"/>
        <v>0</v>
      </c>
      <c r="I26" s="1">
        <f>G26*C26-SUMPRODUCT(C$9:C26,F$9:F26)</f>
        <v>0</v>
      </c>
      <c r="J26" s="2">
        <f t="shared" si="3"/>
        <v>1012.3166133668569</v>
      </c>
      <c r="K26" s="15">
        <f t="shared" si="4"/>
        <v>-32.741743851699539</v>
      </c>
      <c r="L26">
        <f t="shared" si="5"/>
        <v>-1.9254282002556671</v>
      </c>
    </row>
    <row r="27" spans="2:12" x14ac:dyDescent="0.2">
      <c r="B27" s="19">
        <v>0.09</v>
      </c>
      <c r="C27" s="20">
        <v>100</v>
      </c>
      <c r="D27" s="2">
        <f t="shared" si="0"/>
        <v>63.076446106833671</v>
      </c>
      <c r="E27" s="2">
        <f t="shared" si="1"/>
        <v>719.87032138557277</v>
      </c>
      <c r="F27" s="2">
        <f t="shared" si="6"/>
        <v>3.4556450872983646E-2</v>
      </c>
      <c r="G27" s="2">
        <f>SUM(F$9:F27)</f>
        <v>-63.076446106833671</v>
      </c>
      <c r="H27" s="3">
        <f t="shared" si="2"/>
        <v>0</v>
      </c>
      <c r="I27" s="1">
        <f>G27*C27-SUMPRODUCT(C$9:C27,F$9:F27)</f>
        <v>0</v>
      </c>
      <c r="J27" s="2">
        <f t="shared" si="3"/>
        <v>1010.3354937598851</v>
      </c>
      <c r="K27" s="15">
        <f t="shared" si="4"/>
        <v>-34.722863458671327</v>
      </c>
      <c r="L27">
        <f t="shared" si="5"/>
        <v>-1.9261261701484194</v>
      </c>
    </row>
    <row r="28" spans="2:12" x14ac:dyDescent="0.2">
      <c r="B28" s="19">
        <v>9.5000000000000001E-2</v>
      </c>
      <c r="C28" s="20">
        <v>100</v>
      </c>
      <c r="D28" s="2">
        <f t="shared" si="0"/>
        <v>63.041783975866551</v>
      </c>
      <c r="E28" s="2">
        <f t="shared" si="1"/>
        <v>718.10981906495203</v>
      </c>
      <c r="F28" s="2">
        <f t="shared" si="6"/>
        <v>3.4662130967120675E-2</v>
      </c>
      <c r="G28" s="2">
        <f>SUM(F$9:F28)</f>
        <v>-63.041783975866551</v>
      </c>
      <c r="H28" s="3">
        <f t="shared" si="2"/>
        <v>0</v>
      </c>
      <c r="I28" s="1">
        <f>G28*C28-SUMPRODUCT(C$9:C28,F$9:F28)</f>
        <v>0</v>
      </c>
      <c r="J28" s="2">
        <f t="shared" si="3"/>
        <v>1008.3479458054185</v>
      </c>
      <c r="K28" s="15">
        <f t="shared" si="4"/>
        <v>-36.71041141313799</v>
      </c>
      <c r="L28">
        <f t="shared" si="5"/>
        <v>-1.9268252828415888</v>
      </c>
    </row>
    <row r="29" spans="2:12" ht="13.5" thickBot="1" x14ac:dyDescent="0.25">
      <c r="B29" s="21">
        <v>0.1</v>
      </c>
      <c r="C29" s="5">
        <v>100</v>
      </c>
      <c r="D29" s="5">
        <f t="shared" si="0"/>
        <v>63.00701531388421</v>
      </c>
      <c r="E29" s="5">
        <f t="shared" si="1"/>
        <v>716.34268909035268</v>
      </c>
      <c r="F29" s="5">
        <f t="shared" si="6"/>
        <v>3.4768661982340632E-2</v>
      </c>
      <c r="G29" s="5">
        <f>SUM(F$9:F29)</f>
        <v>-63.00701531388421</v>
      </c>
      <c r="H29" s="6">
        <f t="shared" si="2"/>
        <v>0</v>
      </c>
      <c r="I29" s="4">
        <f>G29*C29-SUMPRODUCT(C$9:C29,F$9:F29)</f>
        <v>0</v>
      </c>
      <c r="J29" s="5">
        <f t="shared" si="3"/>
        <v>1006.35391854033</v>
      </c>
      <c r="K29" s="16">
        <f t="shared" si="4"/>
        <v>-38.704438678226438</v>
      </c>
      <c r="L29">
        <f t="shared" si="5"/>
        <v>-1.9275255516733794</v>
      </c>
    </row>
  </sheetData>
  <mergeCells count="1">
    <mergeCell ref="B7:K7"/>
  </mergeCells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5" enableFormatConditionsCalculation="0"/>
  <dimension ref="B1:N29"/>
  <sheetViews>
    <sheetView workbookViewId="0"/>
  </sheetViews>
  <sheetFormatPr defaultColWidth="11" defaultRowHeight="12.75" x14ac:dyDescent="0.2"/>
  <cols>
    <col min="3" max="11" width="8.25" customWidth="1"/>
    <col min="12" max="12" width="8.875" customWidth="1"/>
  </cols>
  <sheetData>
    <row r="1" spans="2:14" ht="13.5" thickBot="1" x14ac:dyDescent="0.25"/>
    <row r="2" spans="2:14" x14ac:dyDescent="0.2">
      <c r="B2" s="8" t="s">
        <v>7</v>
      </c>
      <c r="C2" s="9">
        <v>0.05</v>
      </c>
      <c r="E2" s="28" t="s">
        <v>33</v>
      </c>
      <c r="F2">
        <f>STDEV(N10:N29)*SQRT(1/B10)</f>
        <v>0.1452787924075632</v>
      </c>
    </row>
    <row r="3" spans="2:14" x14ac:dyDescent="0.2">
      <c r="B3" s="10" t="s">
        <v>8</v>
      </c>
      <c r="C3" s="11">
        <f>F2</f>
        <v>0.1452787924075632</v>
      </c>
    </row>
    <row r="4" spans="2:14" x14ac:dyDescent="0.2">
      <c r="B4" s="10" t="s">
        <v>0</v>
      </c>
      <c r="C4" s="11">
        <v>100</v>
      </c>
    </row>
    <row r="5" spans="2:14" ht="13.5" thickBot="1" x14ac:dyDescent="0.25">
      <c r="B5" s="12" t="s">
        <v>1</v>
      </c>
      <c r="C5" s="13">
        <v>1</v>
      </c>
    </row>
    <row r="6" spans="2:14" x14ac:dyDescent="0.2">
      <c r="B6" s="1"/>
      <c r="C6" s="1"/>
    </row>
    <row r="7" spans="2:14" ht="13.5" thickBot="1" x14ac:dyDescent="0.25">
      <c r="B7" s="33" t="s">
        <v>15</v>
      </c>
      <c r="C7" s="33"/>
      <c r="D7" s="33"/>
      <c r="E7" s="33"/>
      <c r="F7" s="33"/>
      <c r="G7" s="33"/>
      <c r="H7" s="33"/>
      <c r="I7" s="33"/>
      <c r="J7" s="33"/>
      <c r="K7" s="33"/>
    </row>
    <row r="8" spans="2:14" ht="13.5" thickBot="1" x14ac:dyDescent="0.25">
      <c r="B8" s="17" t="s">
        <v>2</v>
      </c>
      <c r="C8" s="18" t="s">
        <v>3</v>
      </c>
      <c r="D8" s="7" t="s">
        <v>4</v>
      </c>
      <c r="E8" s="7" t="s">
        <v>16</v>
      </c>
      <c r="F8" s="7" t="s">
        <v>6</v>
      </c>
      <c r="G8" s="7" t="s">
        <v>5</v>
      </c>
      <c r="H8" s="7" t="s">
        <v>9</v>
      </c>
      <c r="I8" s="7" t="s">
        <v>11</v>
      </c>
      <c r="J8" s="7" t="s">
        <v>10</v>
      </c>
      <c r="K8" s="14" t="s">
        <v>13</v>
      </c>
      <c r="L8" s="29" t="s">
        <v>35</v>
      </c>
      <c r="M8" s="30" t="s">
        <v>34</v>
      </c>
      <c r="N8" s="27" t="s">
        <v>40</v>
      </c>
    </row>
    <row r="9" spans="2:14" x14ac:dyDescent="0.2">
      <c r="B9" s="19">
        <v>0</v>
      </c>
      <c r="C9" s="20">
        <v>100</v>
      </c>
      <c r="D9" s="2">
        <f>100*NORMDIST((LN($C9/$C$4)+($C$2+($C$3^2)/2)*($C$5-$B9))/($C$3*SQRT($C$5-$B9)),0,1,TRUE)</f>
        <v>66.158956991742784</v>
      </c>
      <c r="E9" s="2">
        <f>100*NORMDIST((LN($C9/$C$4)+($C$2+($C$3^2)/2)*($C$5-$B9))/($C$3*SQRT($C$5-$B9)),0,1,FALSE)*($C9*$C$3*SQRT($C$5-$B9))</f>
        <v>531.35898803864143</v>
      </c>
      <c r="F9" s="2">
        <f>-D9</f>
        <v>-66.158956991742784</v>
      </c>
      <c r="G9" s="2">
        <f>SUM(F$9:F9)</f>
        <v>-66.158956991742784</v>
      </c>
      <c r="H9" s="3">
        <f>G9+D9</f>
        <v>0</v>
      </c>
      <c r="I9" s="1">
        <f>G9*C9-SUMPRODUCT(C$9:C9,F$9:F9)</f>
        <v>0</v>
      </c>
      <c r="J9" s="2">
        <f>100*($C9*NORMDIST((LN($C9/$C$4)+($C$2+($C$3^2)/2)*($C$5-$B9))/($C$3*SQRT($C$5-$B9)),0,1,TRUE)-$C$4*EXP(-$C$2)*NORMDIST((LN($C9/$C$4)+($C$2-($C$3^2)/2)*($C$5-$B9))/($C$3*SQRT($C$5-$B9)),0,1,TRUE))</f>
        <v>841.86722730145084</v>
      </c>
      <c r="K9" s="15">
        <f>I9+J9-$J$9</f>
        <v>0</v>
      </c>
      <c r="L9">
        <v>0</v>
      </c>
      <c r="M9" s="31">
        <f>SUM(L$9:L9)</f>
        <v>0</v>
      </c>
    </row>
    <row r="10" spans="2:14" x14ac:dyDescent="0.2">
      <c r="B10" s="19">
        <v>5.0000000000000001E-3</v>
      </c>
      <c r="C10" s="20">
        <v>101</v>
      </c>
      <c r="D10" s="2">
        <f t="shared" ref="D10:D29" si="0">100*NORMDIST((LN($C10/$C$4)+($C$2+($C$3^2)/2)*($C$5-$B10))/($C$3*SQRT($C$5-$B10)),0,1,TRUE)</f>
        <v>68.595789193557593</v>
      </c>
      <c r="E10" s="2">
        <f t="shared" ref="E10:E29" si="1">100*NORMDIST((LN($C10/$C$4)+($C$2+($C$3^2)/2)*($C$5-$B10))/($C$3*SQRT($C$5-$B10)),0,1,FALSE)*($C10*$C$3*SQRT($C$5-$B10))</f>
        <v>519.26346224181054</v>
      </c>
      <c r="F10" s="2">
        <f>-(D10-D9)</f>
        <v>-2.4368322018148092</v>
      </c>
      <c r="G10" s="2">
        <f>SUM(F$9:F10)</f>
        <v>-68.595789193557593</v>
      </c>
      <c r="H10" s="3">
        <f t="shared" ref="H10:H29" si="2">G10+D10</f>
        <v>0</v>
      </c>
      <c r="I10" s="1">
        <f>G10*C10-SUMPRODUCT(C$9:C10,F$9:F10)</f>
        <v>-66.158956991743253</v>
      </c>
      <c r="J10" s="2">
        <f t="shared" ref="J10:J29" si="3">100*($C10*NORMDIST((LN($C10/$C$4)+($C$2+($C$3^2)/2)*($C$5-$B10))/($C$3*SQRT($C$5-$B10)),0,1,TRUE)-$C$4*EXP(-$C$2)*NORMDIST((LN($C10/$C$4)+($C$2-($C$3^2)/2)*($C$5-$B10))/($C$3*SQRT($C$5-$B10)),0,1,TRUE))</f>
        <v>907.96545431879497</v>
      </c>
      <c r="K10" s="15">
        <f t="shared" ref="K10:K29" si="4">I10+J10-$J$9</f>
        <v>-6.0729974399123421E-2</v>
      </c>
      <c r="L10">
        <f>0.5*$E10*($C10^2)*((($C10-$C9)/$C10)^2-$C$3^2*($B10-$B9))/100</f>
        <v>-0.1986386121203953</v>
      </c>
      <c r="M10" s="31">
        <f>SUM(L$9:L10)</f>
        <v>-0.1986386121203953</v>
      </c>
      <c r="N10">
        <f>C10/C9-1</f>
        <v>1.0000000000000009E-2</v>
      </c>
    </row>
    <row r="11" spans="2:14" x14ac:dyDescent="0.2">
      <c r="B11" s="19">
        <v>0.01</v>
      </c>
      <c r="C11" s="20">
        <v>102</v>
      </c>
      <c r="D11" s="2">
        <f t="shared" si="0"/>
        <v>70.94266243803817</v>
      </c>
      <c r="E11" s="2">
        <f t="shared" si="1"/>
        <v>505.16565902117844</v>
      </c>
      <c r="F11" s="2">
        <f t="shared" ref="F11:F29" si="5">-(D11-D10)</f>
        <v>-2.3468732444805767</v>
      </c>
      <c r="G11" s="2">
        <f>SUM(F$9:F11)</f>
        <v>-70.94266243803817</v>
      </c>
      <c r="H11" s="3">
        <f t="shared" si="2"/>
        <v>0</v>
      </c>
      <c r="I11" s="1">
        <f>G11*C11-SUMPRODUCT(C$9:C11,F$9:F11)</f>
        <v>-134.75474618530006</v>
      </c>
      <c r="J11" s="2">
        <f t="shared" si="3"/>
        <v>976.54149384794232</v>
      </c>
      <c r="K11" s="15">
        <f t="shared" si="4"/>
        <v>-8.0479638808583331E-2</v>
      </c>
      <c r="L11">
        <f t="shared" ref="L11:L29" si="6">0.5*$E11*($C11^2)*((($C11-$C10)/$C11)^2-$C$3^2*($B11-$B10))/100</f>
        <v>-0.2473552483917614</v>
      </c>
      <c r="M11" s="31">
        <f>SUM(L$9:L11)</f>
        <v>-0.44599386051215673</v>
      </c>
      <c r="N11">
        <f t="shared" ref="N11:N29" si="7">C11/C10-1</f>
        <v>9.9009900990099098E-3</v>
      </c>
    </row>
    <row r="12" spans="2:14" x14ac:dyDescent="0.2">
      <c r="B12" s="19">
        <v>1.4999999999999999E-2</v>
      </c>
      <c r="C12" s="20">
        <v>103</v>
      </c>
      <c r="D12" s="2">
        <f t="shared" si="0"/>
        <v>73.193422026947403</v>
      </c>
      <c r="E12" s="2">
        <f t="shared" si="1"/>
        <v>489.27503693218023</v>
      </c>
      <c r="F12" s="2">
        <f t="shared" si="5"/>
        <v>-2.2507595889092329</v>
      </c>
      <c r="G12" s="2">
        <f>SUM(F$9:F12)</f>
        <v>-73.193422026947403</v>
      </c>
      <c r="H12" s="3">
        <f t="shared" si="2"/>
        <v>0</v>
      </c>
      <c r="I12" s="1">
        <f>G12*C12-SUMPRODUCT(C$9:C12,F$9:F12)</f>
        <v>-205.69740862333856</v>
      </c>
      <c r="J12" s="2">
        <f t="shared" si="3"/>
        <v>1047.5034051320008</v>
      </c>
      <c r="K12" s="15">
        <f t="shared" si="4"/>
        <v>-6.1230792788592225E-2</v>
      </c>
      <c r="L12">
        <f t="shared" si="6"/>
        <v>-0.2924982202718458</v>
      </c>
      <c r="M12" s="31">
        <f>SUM(L$9:L12)</f>
        <v>-0.73849208078400252</v>
      </c>
      <c r="N12">
        <f t="shared" si="7"/>
        <v>9.8039215686274161E-3</v>
      </c>
    </row>
    <row r="13" spans="2:14" x14ac:dyDescent="0.2">
      <c r="B13" s="19">
        <v>0.02</v>
      </c>
      <c r="C13" s="20">
        <v>104</v>
      </c>
      <c r="D13" s="2">
        <f t="shared" si="0"/>
        <v>75.343076699006815</v>
      </c>
      <c r="E13" s="2">
        <f t="shared" si="1"/>
        <v>471.81403614373795</v>
      </c>
      <c r="F13" s="2">
        <f t="shared" si="5"/>
        <v>-2.1496546720594125</v>
      </c>
      <c r="G13" s="2">
        <f>SUM(F$9:F13)</f>
        <v>-75.343076699006815</v>
      </c>
      <c r="H13" s="3">
        <f t="shared" si="2"/>
        <v>0</v>
      </c>
      <c r="I13" s="1">
        <f>G13*C13-SUMPRODUCT(C$9:C13,F$9:F13)</f>
        <v>-278.89083065028626</v>
      </c>
      <c r="J13" s="2">
        <f t="shared" si="3"/>
        <v>1120.7526812329845</v>
      </c>
      <c r="K13" s="15">
        <f t="shared" si="4"/>
        <v>-5.3767187525863847E-3</v>
      </c>
      <c r="L13">
        <f t="shared" si="6"/>
        <v>-0.3335927182924307</v>
      </c>
      <c r="M13" s="31">
        <f>SUM(L$9:L13)</f>
        <v>-1.0720847990764333</v>
      </c>
      <c r="N13">
        <f t="shared" si="7"/>
        <v>9.7087378640776656E-3</v>
      </c>
    </row>
    <row r="14" spans="2:14" x14ac:dyDescent="0.2">
      <c r="B14" s="19">
        <v>2.5000000000000001E-2</v>
      </c>
      <c r="C14" s="20">
        <v>105</v>
      </c>
      <c r="D14" s="2">
        <f t="shared" si="0"/>
        <v>77.387786340810578</v>
      </c>
      <c r="E14" s="2">
        <f t="shared" si="1"/>
        <v>453.01351153486127</v>
      </c>
      <c r="F14" s="2">
        <f t="shared" si="5"/>
        <v>-2.0447096418037631</v>
      </c>
      <c r="G14" s="2">
        <f>SUM(F$9:F14)</f>
        <v>-77.387786340810578</v>
      </c>
      <c r="H14" s="3">
        <f t="shared" si="2"/>
        <v>0</v>
      </c>
      <c r="I14" s="1">
        <f>G14*C14-SUMPRODUCT(C$9:C14,F$9:F14)</f>
        <v>-354.23390734929308</v>
      </c>
      <c r="J14" s="2">
        <f t="shared" si="3"/>
        <v>1196.1854772864313</v>
      </c>
      <c r="K14" s="15">
        <f t="shared" si="4"/>
        <v>8.4342635687335132E-2</v>
      </c>
      <c r="L14">
        <f t="shared" si="6"/>
        <v>-0.37025758022247951</v>
      </c>
      <c r="M14" s="31">
        <f>SUM(L$9:L14)</f>
        <v>-1.4423423792989127</v>
      </c>
      <c r="N14">
        <f t="shared" si="7"/>
        <v>9.6153846153845812E-3</v>
      </c>
    </row>
    <row r="15" spans="2:14" x14ac:dyDescent="0.2">
      <c r="B15" s="19">
        <v>0.03</v>
      </c>
      <c r="C15" s="20">
        <v>104</v>
      </c>
      <c r="D15" s="2">
        <f t="shared" si="0"/>
        <v>75.320723081565205</v>
      </c>
      <c r="E15" s="2">
        <f t="shared" si="1"/>
        <v>469.6284954178393</v>
      </c>
      <c r="F15" s="2">
        <f t="shared" si="5"/>
        <v>2.0670632592453728</v>
      </c>
      <c r="G15" s="2">
        <f>SUM(F$9:F15)</f>
        <v>-75.320723081565205</v>
      </c>
      <c r="H15" s="3">
        <f t="shared" si="2"/>
        <v>0</v>
      </c>
      <c r="I15" s="1">
        <f>G15*C15-SUMPRODUCT(C$9:C15,F$9:F15)</f>
        <v>-276.84612100848335</v>
      </c>
      <c r="J15" s="2">
        <f t="shared" si="3"/>
        <v>1118.3388200278002</v>
      </c>
      <c r="K15" s="15">
        <f t="shared" si="4"/>
        <v>-0.37452828213395151</v>
      </c>
      <c r="L15">
        <f t="shared" si="6"/>
        <v>-0.3320474474529892</v>
      </c>
      <c r="M15" s="31">
        <f>SUM(L$9:L15)</f>
        <v>-1.7743898267519018</v>
      </c>
      <c r="N15">
        <f t="shared" si="7"/>
        <v>-9.52380952380949E-3</v>
      </c>
    </row>
    <row r="16" spans="2:14" x14ac:dyDescent="0.2">
      <c r="B16" s="19">
        <v>3.5000000000000003E-2</v>
      </c>
      <c r="C16" s="20">
        <v>103</v>
      </c>
      <c r="D16" s="2">
        <f t="shared" si="0"/>
        <v>73.123938081581684</v>
      </c>
      <c r="E16" s="2">
        <f t="shared" si="1"/>
        <v>484.9131281979158</v>
      </c>
      <c r="F16" s="2">
        <f t="shared" si="5"/>
        <v>2.1967849999835209</v>
      </c>
      <c r="G16" s="2">
        <f>SUM(F$9:F16)</f>
        <v>-73.123938081581684</v>
      </c>
      <c r="H16" s="3">
        <f t="shared" si="2"/>
        <v>0</v>
      </c>
      <c r="I16" s="1">
        <f>G16*C16-SUMPRODUCT(C$9:C16,F$9:F16)</f>
        <v>-201.52539792691732</v>
      </c>
      <c r="J16" s="2">
        <f t="shared" si="3"/>
        <v>1042.5047189194131</v>
      </c>
      <c r="K16" s="15">
        <f t="shared" si="4"/>
        <v>-0.88790630895505274</v>
      </c>
      <c r="L16">
        <f t="shared" si="6"/>
        <v>-0.28989058561760517</v>
      </c>
      <c r="M16" s="31">
        <f>SUM(L$9:L16)</f>
        <v>-2.0642804123695071</v>
      </c>
      <c r="N16">
        <f t="shared" si="7"/>
        <v>-9.6153846153845812E-3</v>
      </c>
    </row>
    <row r="17" spans="2:14" x14ac:dyDescent="0.2">
      <c r="B17" s="19">
        <v>0.04</v>
      </c>
      <c r="C17" s="20">
        <v>102</v>
      </c>
      <c r="D17" s="2">
        <f t="shared" si="0"/>
        <v>70.798325937717578</v>
      </c>
      <c r="E17" s="2">
        <f t="shared" si="1"/>
        <v>498.60452237723575</v>
      </c>
      <c r="F17" s="2">
        <f t="shared" si="5"/>
        <v>2.325612143864106</v>
      </c>
      <c r="G17" s="2">
        <f>SUM(F$9:F17)</f>
        <v>-70.798325937717578</v>
      </c>
      <c r="H17" s="3">
        <f t="shared" si="2"/>
        <v>0</v>
      </c>
      <c r="I17" s="1">
        <f>G17*C17-SUMPRODUCT(C$9:C17,F$9:F17)</f>
        <v>-128.40145984533592</v>
      </c>
      <c r="J17" s="2">
        <f t="shared" si="3"/>
        <v>968.81089670051915</v>
      </c>
      <c r="K17" s="15">
        <f t="shared" si="4"/>
        <v>-1.4577904462676088</v>
      </c>
      <c r="L17">
        <f t="shared" si="6"/>
        <v>-0.24414257635969952</v>
      </c>
      <c r="M17" s="31">
        <f>SUM(L$9:L17)</f>
        <v>-2.3084229887292067</v>
      </c>
      <c r="N17">
        <f t="shared" si="7"/>
        <v>-9.7087378640776656E-3</v>
      </c>
    </row>
    <row r="18" spans="2:14" x14ac:dyDescent="0.2">
      <c r="B18" s="19">
        <v>4.4999999999999998E-2</v>
      </c>
      <c r="C18" s="20">
        <v>101</v>
      </c>
      <c r="D18" s="2">
        <f t="shared" si="0"/>
        <v>68.346332404775239</v>
      </c>
      <c r="E18" s="2">
        <f t="shared" si="1"/>
        <v>510.43917728468068</v>
      </c>
      <c r="F18" s="2">
        <f t="shared" si="5"/>
        <v>2.451993532942339</v>
      </c>
      <c r="G18" s="2">
        <f>SUM(F$9:F18)</f>
        <v>-68.346332404775239</v>
      </c>
      <c r="H18" s="3">
        <f t="shared" si="2"/>
        <v>0</v>
      </c>
      <c r="I18" s="1">
        <f>G18*C18-SUMPRODUCT(C$9:C18,F$9:F18)</f>
        <v>-57.60313390761803</v>
      </c>
      <c r="J18" s="2">
        <f t="shared" si="3"/>
        <v>897.38474912904348</v>
      </c>
      <c r="K18" s="15">
        <f t="shared" si="4"/>
        <v>-2.0856120800253848</v>
      </c>
      <c r="L18">
        <f t="shared" si="6"/>
        <v>-0.19526297750656676</v>
      </c>
      <c r="M18" s="31">
        <f>SUM(L$9:L18)</f>
        <v>-2.5036859662357736</v>
      </c>
      <c r="N18">
        <f t="shared" si="7"/>
        <v>-9.8039215686274161E-3</v>
      </c>
    </row>
    <row r="19" spans="2:14" x14ac:dyDescent="0.2">
      <c r="B19" s="19">
        <v>0.05</v>
      </c>
      <c r="C19" s="20">
        <v>100</v>
      </c>
      <c r="D19" s="2">
        <f t="shared" si="0"/>
        <v>65.772109421771034</v>
      </c>
      <c r="E19" s="2">
        <f t="shared" si="1"/>
        <v>520.1589153984977</v>
      </c>
      <c r="F19" s="2">
        <f t="shared" si="5"/>
        <v>2.5742229830042049</v>
      </c>
      <c r="G19" s="2">
        <f>SUM(F$9:F19)</f>
        <v>-65.772109421771034</v>
      </c>
      <c r="H19" s="3">
        <f t="shared" si="2"/>
        <v>0</v>
      </c>
      <c r="I19" s="1">
        <f>G19*C19-SUMPRODUCT(C$9:C19,F$9:F19)</f>
        <v>10.743198497157209</v>
      </c>
      <c r="J19" s="2">
        <f t="shared" si="3"/>
        <v>828.35190024470012</v>
      </c>
      <c r="K19" s="15">
        <f t="shared" si="4"/>
        <v>-2.7721285595935115</v>
      </c>
      <c r="L19">
        <f t="shared" si="6"/>
        <v>-0.14381451527025413</v>
      </c>
      <c r="M19" s="31">
        <f>SUM(L$9:L19)</f>
        <v>-2.6475004815060279</v>
      </c>
      <c r="N19">
        <f t="shared" si="7"/>
        <v>-9.9009900990099098E-3</v>
      </c>
    </row>
    <row r="20" spans="2:14" x14ac:dyDescent="0.2">
      <c r="B20" s="19">
        <v>5.5E-2</v>
      </c>
      <c r="C20" s="20">
        <v>99</v>
      </c>
      <c r="D20" s="2">
        <f t="shared" si="0"/>
        <v>63.081651049002154</v>
      </c>
      <c r="E20" s="2">
        <f t="shared" si="1"/>
        <v>527.5175224357157</v>
      </c>
      <c r="F20" s="2">
        <f t="shared" si="5"/>
        <v>2.6904583727688802</v>
      </c>
      <c r="G20" s="2">
        <f>SUM(F$9:F20)</f>
        <v>-63.081651049002154</v>
      </c>
      <c r="H20" s="3">
        <f t="shared" si="2"/>
        <v>0</v>
      </c>
      <c r="I20" s="1">
        <f>G20*C20-SUMPRODUCT(C$9:C20,F$9:F20)</f>
        <v>76.515307918928556</v>
      </c>
      <c r="J20" s="2">
        <f t="shared" si="3"/>
        <v>761.83459976981703</v>
      </c>
      <c r="K20" s="15">
        <f t="shared" si="4"/>
        <v>-3.5173196127052506</v>
      </c>
      <c r="L20">
        <f t="shared" si="6"/>
        <v>-9.0458647469974174E-2</v>
      </c>
      <c r="M20" s="31">
        <f>SUM(L$9:L20)</f>
        <v>-2.7379591289760019</v>
      </c>
      <c r="N20">
        <f t="shared" si="7"/>
        <v>-1.0000000000000009E-2</v>
      </c>
    </row>
    <row r="21" spans="2:14" x14ac:dyDescent="0.2">
      <c r="B21" s="19">
        <v>0.06</v>
      </c>
      <c r="C21" s="20">
        <v>98</v>
      </c>
      <c r="D21" s="2">
        <f t="shared" si="0"/>
        <v>60.282902589556173</v>
      </c>
      <c r="E21" s="2">
        <f t="shared" si="1"/>
        <v>532.28795959157674</v>
      </c>
      <c r="F21" s="2">
        <f t="shared" si="5"/>
        <v>2.7987484594459815</v>
      </c>
      <c r="G21" s="2">
        <f>SUM(F$9:F21)</f>
        <v>-60.282902589556173</v>
      </c>
      <c r="H21" s="3">
        <f t="shared" si="2"/>
        <v>0</v>
      </c>
      <c r="I21" s="1">
        <f>G21*C21-SUMPRODUCT(C$9:C21,F$9:F21)</f>
        <v>139.59695896793164</v>
      </c>
      <c r="J21" s="2">
        <f t="shared" si="3"/>
        <v>697.94997749634854</v>
      </c>
      <c r="K21" s="15">
        <f t="shared" si="4"/>
        <v>-4.3202908371706599</v>
      </c>
      <c r="L21">
        <f t="shared" si="6"/>
        <v>-3.5947108364155912E-2</v>
      </c>
      <c r="M21" s="31">
        <f>SUM(L$9:L21)</f>
        <v>-2.773906237340158</v>
      </c>
      <c r="N21">
        <f t="shared" si="7"/>
        <v>-1.0101010101010055E-2</v>
      </c>
    </row>
    <row r="22" spans="2:14" x14ac:dyDescent="0.2">
      <c r="B22" s="19">
        <v>6.5000000000000002E-2</v>
      </c>
      <c r="C22" s="20">
        <v>97</v>
      </c>
      <c r="D22" s="2">
        <f t="shared" si="0"/>
        <v>57.385834744632632</v>
      </c>
      <c r="E22" s="2">
        <f t="shared" si="1"/>
        <v>534.26996484158894</v>
      </c>
      <c r="F22" s="2">
        <f t="shared" si="5"/>
        <v>2.8970678449235407</v>
      </c>
      <c r="G22" s="2">
        <f>SUM(F$9:F22)</f>
        <v>-57.385834744632632</v>
      </c>
      <c r="H22" s="3">
        <f t="shared" si="2"/>
        <v>0</v>
      </c>
      <c r="I22" s="1">
        <f>G22*C22-SUMPRODUCT(C$9:C22,F$9:F22)</f>
        <v>199.87986155748695</v>
      </c>
      <c r="J22" s="2">
        <f t="shared" si="3"/>
        <v>636.8081767234379</v>
      </c>
      <c r="K22" s="15">
        <f t="shared" si="4"/>
        <v>-5.1791890205259961</v>
      </c>
      <c r="L22">
        <f t="shared" si="6"/>
        <v>1.8890823367020262E-2</v>
      </c>
      <c r="M22" s="31">
        <f>SUM(L$9:L22)</f>
        <v>-2.7550154139731378</v>
      </c>
      <c r="N22">
        <f t="shared" si="7"/>
        <v>-1.0204081632653073E-2</v>
      </c>
    </row>
    <row r="23" spans="2:14" x14ac:dyDescent="0.2">
      <c r="B23" s="19">
        <v>7.0000000000000007E-2</v>
      </c>
      <c r="C23" s="20">
        <v>96</v>
      </c>
      <c r="D23" s="2">
        <f t="shared" si="0"/>
        <v>54.402474539229438</v>
      </c>
      <c r="E23" s="2">
        <f t="shared" si="1"/>
        <v>533.29780774679</v>
      </c>
      <c r="F23" s="2">
        <f t="shared" si="5"/>
        <v>2.9833602054031942</v>
      </c>
      <c r="G23" s="2">
        <f>SUM(F$9:F23)</f>
        <v>-54.402474539229438</v>
      </c>
      <c r="H23" s="3">
        <f t="shared" si="2"/>
        <v>0</v>
      </c>
      <c r="I23" s="1">
        <f>G23*C23-SUMPRODUCT(C$9:C23,F$9:F23)</f>
        <v>257.26569630211998</v>
      </c>
      <c r="J23" s="2">
        <f t="shared" si="3"/>
        <v>578.51039659344326</v>
      </c>
      <c r="K23" s="15">
        <f t="shared" si="4"/>
        <v>-6.0911344058876011</v>
      </c>
      <c r="L23">
        <f t="shared" si="6"/>
        <v>7.3165418683363445E-2</v>
      </c>
      <c r="M23" s="31">
        <f>SUM(L$9:L23)</f>
        <v>-2.6818499952897743</v>
      </c>
      <c r="N23">
        <f t="shared" si="7"/>
        <v>-1.0309278350515427E-2</v>
      </c>
    </row>
    <row r="24" spans="2:14" x14ac:dyDescent="0.2">
      <c r="B24" s="19">
        <v>7.4999999999999997E-2</v>
      </c>
      <c r="C24" s="20">
        <v>95</v>
      </c>
      <c r="D24" s="2">
        <f t="shared" si="0"/>
        <v>51.346885036085268</v>
      </c>
      <c r="E24" s="2">
        <f t="shared" si="1"/>
        <v>529.24791187526353</v>
      </c>
      <c r="F24" s="2">
        <f t="shared" si="5"/>
        <v>3.0555895031441693</v>
      </c>
      <c r="G24" s="2">
        <f>SUM(F$9:F24)</f>
        <v>-51.346885036085268</v>
      </c>
      <c r="H24" s="3">
        <f t="shared" si="2"/>
        <v>0</v>
      </c>
      <c r="I24" s="1">
        <f>G24*C24-SUMPRODUCT(C$9:C24,F$9:F24)</f>
        <v>311.66817084134891</v>
      </c>
      <c r="J24" s="2">
        <f t="shared" si="3"/>
        <v>523.14688127201384</v>
      </c>
      <c r="K24" s="15">
        <f t="shared" si="4"/>
        <v>-7.0521751880880856</v>
      </c>
      <c r="L24">
        <f t="shared" si="6"/>
        <v>0.12594782609384944</v>
      </c>
      <c r="M24" s="31">
        <f>SUM(L$9:L24)</f>
        <v>-2.5559021691959249</v>
      </c>
      <c r="N24">
        <f t="shared" si="7"/>
        <v>-1.041666666666663E-2</v>
      </c>
    </row>
    <row r="25" spans="2:14" x14ac:dyDescent="0.2">
      <c r="B25" s="19">
        <v>0.08</v>
      </c>
      <c r="C25" s="20">
        <v>96</v>
      </c>
      <c r="D25" s="2">
        <f>100*NORMDIST((LN($C25/$C$4)+($C$2+($C$3^2)/2)*($C$5-$B25))/($C$3*SQRT($C$5-$B25)),0,1,TRUE)</f>
        <v>54.253905326962638</v>
      </c>
      <c r="E25" s="2">
        <f t="shared" si="1"/>
        <v>530.6389125616779</v>
      </c>
      <c r="F25" s="2">
        <f t="shared" si="5"/>
        <v>-2.9070202908773695</v>
      </c>
      <c r="G25" s="2">
        <f>SUM(F$9:F25)</f>
        <v>-54.253905326962638</v>
      </c>
      <c r="H25" s="3">
        <f t="shared" si="2"/>
        <v>0</v>
      </c>
      <c r="I25" s="1">
        <f>G25*C25-SUMPRODUCT(C$9:C25,F$9:F25)</f>
        <v>260.32128580526387</v>
      </c>
      <c r="J25" s="2">
        <f t="shared" si="3"/>
        <v>575.59223943788709</v>
      </c>
      <c r="K25" s="15">
        <f t="shared" si="4"/>
        <v>-5.9537020582998821</v>
      </c>
      <c r="L25">
        <f t="shared" si="6"/>
        <v>7.2800633423368025E-2</v>
      </c>
      <c r="M25" s="31">
        <f>SUM(L$9:L25)</f>
        <v>-2.483101535772557</v>
      </c>
      <c r="N25">
        <f t="shared" si="7"/>
        <v>1.0526315789473717E-2</v>
      </c>
    </row>
    <row r="26" spans="2:14" x14ac:dyDescent="0.2">
      <c r="B26" s="19">
        <v>8.5000000000000006E-2</v>
      </c>
      <c r="C26" s="20">
        <v>97</v>
      </c>
      <c r="D26" s="2">
        <f t="shared" si="0"/>
        <v>57.123341729426649</v>
      </c>
      <c r="E26" s="2">
        <f t="shared" si="1"/>
        <v>529.17198396597485</v>
      </c>
      <c r="F26" s="2">
        <f t="shared" si="5"/>
        <v>-2.8694364024640109</v>
      </c>
      <c r="G26" s="2">
        <f>SUM(F$9:F26)</f>
        <v>-57.123341729426649</v>
      </c>
      <c r="H26" s="3">
        <f t="shared" si="2"/>
        <v>0</v>
      </c>
      <c r="I26" s="1">
        <f>G26*C26-SUMPRODUCT(C$9:C26,F$9:F26)</f>
        <v>206.06738047830186</v>
      </c>
      <c r="J26" s="2">
        <f t="shared" si="3"/>
        <v>630.98581726680789</v>
      </c>
      <c r="K26" s="15">
        <f t="shared" si="4"/>
        <v>-4.8140295563410973</v>
      </c>
      <c r="L26">
        <f t="shared" si="6"/>
        <v>1.8710567948248543E-2</v>
      </c>
      <c r="M26" s="31">
        <f>SUM(L$9:L26)</f>
        <v>-2.4643909678243086</v>
      </c>
      <c r="N26">
        <f t="shared" si="7"/>
        <v>1.0416666666666741E-2</v>
      </c>
    </row>
    <row r="27" spans="2:14" x14ac:dyDescent="0.2">
      <c r="B27" s="19">
        <v>0.09</v>
      </c>
      <c r="C27" s="20">
        <v>98</v>
      </c>
      <c r="D27" s="2">
        <f t="shared" si="0"/>
        <v>59.941402112390804</v>
      </c>
      <c r="E27" s="2">
        <f t="shared" si="1"/>
        <v>524.91365099270865</v>
      </c>
      <c r="F27" s="2">
        <f t="shared" si="5"/>
        <v>-2.8180603829641555</v>
      </c>
      <c r="G27" s="2">
        <f>SUM(F$9:F27)</f>
        <v>-59.941402112390804</v>
      </c>
      <c r="H27" s="3">
        <f t="shared" si="2"/>
        <v>0</v>
      </c>
      <c r="I27" s="1">
        <f>G27*C27-SUMPRODUCT(C$9:C27,F$9:F27)</f>
        <v>148.94403874887485</v>
      </c>
      <c r="J27" s="2">
        <f t="shared" si="3"/>
        <v>689.28412162945062</v>
      </c>
      <c r="K27" s="15">
        <f t="shared" si="4"/>
        <v>-3.6390669231253696</v>
      </c>
      <c r="L27">
        <f t="shared" si="6"/>
        <v>-3.5449097718715732E-2</v>
      </c>
      <c r="M27" s="31">
        <f>SUM(L$9:L27)</f>
        <v>-2.4998400655430242</v>
      </c>
      <c r="N27">
        <f t="shared" si="7"/>
        <v>1.0309278350515427E-2</v>
      </c>
    </row>
    <row r="28" spans="2:14" x14ac:dyDescent="0.2">
      <c r="B28" s="19">
        <v>9.5000000000000001E-2</v>
      </c>
      <c r="C28" s="20">
        <v>99</v>
      </c>
      <c r="D28" s="2">
        <f t="shared" si="0"/>
        <v>62.695262426539102</v>
      </c>
      <c r="E28" s="2">
        <f t="shared" si="1"/>
        <v>517.97123173067769</v>
      </c>
      <c r="F28" s="2">
        <f t="shared" si="5"/>
        <v>-2.753860314148298</v>
      </c>
      <c r="G28" s="2">
        <f>SUM(F$9:F28)</f>
        <v>-62.695262426539102</v>
      </c>
      <c r="H28" s="3">
        <f t="shared" si="2"/>
        <v>0</v>
      </c>
      <c r="I28" s="1">
        <f>G28*C28-SUMPRODUCT(C$9:C28,F$9:F28)</f>
        <v>89.002636636484567</v>
      </c>
      <c r="J28" s="2">
        <f t="shared" si="3"/>
        <v>750.4294088997874</v>
      </c>
      <c r="K28" s="15">
        <f t="shared" si="4"/>
        <v>-2.4351817651788679</v>
      </c>
      <c r="L28">
        <f t="shared" si="6"/>
        <v>-8.8821650576403954E-2</v>
      </c>
      <c r="M28" s="31">
        <f>SUM(L$9:L28)</f>
        <v>-2.5886617161194283</v>
      </c>
      <c r="N28">
        <f t="shared" si="7"/>
        <v>1.0204081632652962E-2</v>
      </c>
    </row>
    <row r="29" spans="2:14" ht="13.5" thickBot="1" x14ac:dyDescent="0.25">
      <c r="B29" s="21">
        <v>0.1</v>
      </c>
      <c r="C29" s="22">
        <v>100</v>
      </c>
      <c r="D29" s="5">
        <f t="shared" si="0"/>
        <v>65.373211558236633</v>
      </c>
      <c r="E29" s="2">
        <f t="shared" si="1"/>
        <v>508.48917453835173</v>
      </c>
      <c r="F29" s="5">
        <f t="shared" si="5"/>
        <v>-2.677949131697531</v>
      </c>
      <c r="G29" s="5">
        <f>SUM(F$9:F29)</f>
        <v>-65.373211558236633</v>
      </c>
      <c r="H29" s="6">
        <f t="shared" si="2"/>
        <v>0</v>
      </c>
      <c r="I29" s="4">
        <f>G29*C29-SUMPRODUCT(C$9:C29,F$9:F29)</f>
        <v>26.30737420994501</v>
      </c>
      <c r="J29" s="5">
        <f t="shared" si="3"/>
        <v>814.35076095296063</v>
      </c>
      <c r="K29" s="16">
        <f t="shared" si="4"/>
        <v>-1.209092138545202</v>
      </c>
      <c r="L29">
        <f t="shared" si="6"/>
        <v>-0.14058804336820926</v>
      </c>
      <c r="M29" s="31">
        <f>SUM(L$9:L29)</f>
        <v>-2.7292497594876375</v>
      </c>
      <c r="N29">
        <f t="shared" si="7"/>
        <v>1.0101010101010166E-2</v>
      </c>
    </row>
  </sheetData>
  <mergeCells count="1">
    <mergeCell ref="B7:K7"/>
  </mergeCells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Frequency</vt:lpstr>
      <vt:lpstr>Gap Risk</vt:lpstr>
      <vt:lpstr>Theta Decay</vt:lpstr>
      <vt:lpstr>Expected Profit</vt:lpstr>
    </vt:vector>
  </TitlesOfParts>
  <Company>CFIG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Delta Hedging and Profitability</dc:title>
  <dc:creator>Xander Ciucci</dc:creator>
  <dc:description>October 2011</dc:description>
  <cp:lastModifiedBy>Brian Fagan</cp:lastModifiedBy>
  <dcterms:created xsi:type="dcterms:W3CDTF">2011-10-05T14:33:29Z</dcterms:created>
  <dcterms:modified xsi:type="dcterms:W3CDTF">2015-01-26T23:24:37Z</dcterms:modified>
</cp:coreProperties>
</file>