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365"/>
  </bookViews>
  <sheets>
    <sheet name="Worksheet" sheetId="2" r:id="rId1"/>
    <sheet name="Costs" sheetId="3" r:id="rId2"/>
  </sheets>
  <definedNames>
    <definedName name="AssmtCreationMgmt">Worksheet!$B$68</definedName>
    <definedName name="CloudwatchCosts">Costs!$M$57:$Q$57</definedName>
    <definedName name="DataCapacityOH">Worksheet!$B$73</definedName>
    <definedName name="DaysPerMonth">Costs!$B$21</definedName>
    <definedName name="EC2costs">Costs!$M$2:$Q$23</definedName>
    <definedName name="EC2names">Costs!$M$2:$M$23</definedName>
    <definedName name="EC2storagecosts">Costs!$M$25:$Q$30</definedName>
    <definedName name="EC2storagenames">Costs!$M$25:$M$30</definedName>
    <definedName name="MaxConcurrentStudents">Costs!$B$25</definedName>
    <definedName name="MinSSOStorage">Costs!$B$37</definedName>
    <definedName name="MinTDStorage">Costs!$B$28</definedName>
    <definedName name="MinTISStorage">Costs!$B$31</definedName>
    <definedName name="MinTRAStorage">Costs!$B$34</definedName>
    <definedName name="RDScosts">Costs!$M$32:$Q$48</definedName>
    <definedName name="RDSnames">Costs!$M$32:$M$48</definedName>
    <definedName name="RDSstoragecosts">Costs!$M$50:$Q$55</definedName>
    <definedName name="RDSstoragenames">Costs!$M$50:$M$55</definedName>
    <definedName name="Region">Costs!$A$2:$B$4</definedName>
    <definedName name="RegionNames">Costs!$A$2:$A$4</definedName>
    <definedName name="SecondsPerMonth">Costs!$B$22</definedName>
    <definedName name="SelectedRegion">Worksheet!$B$72</definedName>
    <definedName name="SupportCost">Costs!$A$9:$B$13</definedName>
    <definedName name="UbuntuSupportCost">Costs!$B$7</definedName>
    <definedName name="YesNoList">Costs!$B$40:$B$41</definedName>
  </definedNames>
  <calcPr calcId="145621"/>
</workbook>
</file>

<file path=xl/calcChain.xml><?xml version="1.0" encoding="utf-8"?>
<calcChain xmlns="http://schemas.openxmlformats.org/spreadsheetml/2006/main">
  <c r="I156" i="2" l="1"/>
  <c r="B81" i="2" l="1"/>
  <c r="E60" i="2"/>
  <c r="E63" i="2" s="1"/>
  <c r="E50" i="2"/>
  <c r="D98" i="2" s="1"/>
  <c r="D99" i="2" s="1"/>
  <c r="E40" i="2"/>
  <c r="E88" i="2" l="1"/>
  <c r="E89" i="2" s="1"/>
  <c r="E61" i="2"/>
  <c r="E62" i="2" s="1"/>
  <c r="C98" i="2"/>
  <c r="C99" i="2" s="1"/>
  <c r="E90" i="2" l="1"/>
  <c r="B78" i="2"/>
  <c r="E28" i="2" l="1"/>
  <c r="E34" i="2" l="1"/>
  <c r="E33" i="2" s="1"/>
  <c r="B76" i="2"/>
  <c r="C76" i="2" l="1"/>
  <c r="B99" i="2"/>
  <c r="B98" i="2" l="1"/>
  <c r="E78" i="2"/>
  <c r="E49" i="2"/>
  <c r="D78" i="2" s="1"/>
  <c r="G121" i="2" l="1"/>
  <c r="G137" i="2" s="1"/>
  <c r="F121" i="2"/>
  <c r="F137" i="2" s="1"/>
  <c r="E121" i="2"/>
  <c r="E137" i="2" s="1"/>
  <c r="H121" i="2"/>
  <c r="H137" i="2" s="1"/>
  <c r="D121" i="2"/>
  <c r="D137" i="2" s="1"/>
  <c r="C121" i="2"/>
  <c r="C137" i="2" s="1"/>
  <c r="B121" i="2"/>
  <c r="B137" i="2" s="1"/>
  <c r="I120" i="2"/>
  <c r="G120" i="2"/>
  <c r="F120" i="2"/>
  <c r="E120" i="2"/>
  <c r="H120" i="2"/>
  <c r="D120" i="2"/>
  <c r="C120" i="2"/>
  <c r="B120" i="2"/>
  <c r="C153" i="2" l="1"/>
  <c r="H153" i="2"/>
  <c r="E153" i="2"/>
  <c r="F153" i="2"/>
  <c r="D153" i="2"/>
  <c r="G153" i="2"/>
  <c r="B107" i="2" l="1"/>
  <c r="G123" i="2"/>
  <c r="G124" i="2" s="1"/>
  <c r="F123" i="2"/>
  <c r="F124" i="2" s="1"/>
  <c r="E123" i="2"/>
  <c r="E124" i="2" s="1"/>
  <c r="H123" i="2"/>
  <c r="H124" i="2" s="1"/>
  <c r="D123" i="2"/>
  <c r="D124" i="2" s="1"/>
  <c r="C123" i="2"/>
  <c r="C124" i="2" s="1"/>
  <c r="B123" i="2"/>
  <c r="B132" i="2" l="1"/>
  <c r="B133" i="2"/>
  <c r="B104" i="2"/>
  <c r="B105" i="2"/>
  <c r="C104" i="2"/>
  <c r="D104" i="2"/>
  <c r="H104" i="2"/>
  <c r="E104" i="2"/>
  <c r="F104" i="2"/>
  <c r="G104" i="2"/>
  <c r="C105" i="2"/>
  <c r="D105" i="2"/>
  <c r="H105" i="2"/>
  <c r="E105" i="2"/>
  <c r="F105" i="2"/>
  <c r="G105" i="2"/>
  <c r="I140" i="2"/>
  <c r="G119" i="2"/>
  <c r="F119" i="2"/>
  <c r="E119" i="2"/>
  <c r="H119" i="2"/>
  <c r="D119" i="2"/>
  <c r="C119" i="2"/>
  <c r="G118" i="2"/>
  <c r="F118" i="2"/>
  <c r="E118" i="2"/>
  <c r="H118" i="2"/>
  <c r="D118" i="2"/>
  <c r="C118" i="2"/>
  <c r="G117" i="2"/>
  <c r="F117" i="2"/>
  <c r="E117" i="2"/>
  <c r="H117" i="2"/>
  <c r="D117" i="2"/>
  <c r="C117" i="2"/>
  <c r="G116" i="2"/>
  <c r="F116" i="2"/>
  <c r="E116" i="2"/>
  <c r="H116" i="2"/>
  <c r="D116" i="2"/>
  <c r="C116" i="2"/>
  <c r="G115" i="2"/>
  <c r="F115" i="2"/>
  <c r="E115" i="2"/>
  <c r="H115" i="2"/>
  <c r="D115" i="2"/>
  <c r="C115" i="2"/>
  <c r="G114" i="2"/>
  <c r="G135" i="2" s="1"/>
  <c r="F114" i="2"/>
  <c r="F135" i="2" s="1"/>
  <c r="E114" i="2"/>
  <c r="E135" i="2" s="1"/>
  <c r="H114" i="2"/>
  <c r="H135" i="2" s="1"/>
  <c r="D114" i="2"/>
  <c r="D135" i="2" s="1"/>
  <c r="C114" i="2"/>
  <c r="C135" i="2" s="1"/>
  <c r="G113" i="2"/>
  <c r="F113" i="2"/>
  <c r="E113" i="2"/>
  <c r="H113" i="2"/>
  <c r="D113" i="2"/>
  <c r="C113" i="2"/>
  <c r="G112" i="2"/>
  <c r="F112" i="2"/>
  <c r="E112" i="2"/>
  <c r="H112" i="2"/>
  <c r="D112" i="2"/>
  <c r="C112" i="2"/>
  <c r="G111" i="2"/>
  <c r="F111" i="2"/>
  <c r="E111" i="2"/>
  <c r="H111" i="2"/>
  <c r="D111" i="2"/>
  <c r="C111" i="2"/>
  <c r="G110" i="2"/>
  <c r="F110" i="2"/>
  <c r="E110" i="2"/>
  <c r="H110" i="2"/>
  <c r="D110" i="2"/>
  <c r="C110" i="2"/>
  <c r="G109" i="2"/>
  <c r="F109" i="2"/>
  <c r="E109" i="2"/>
  <c r="H109" i="2"/>
  <c r="D109" i="2"/>
  <c r="C109" i="2"/>
  <c r="G108" i="2"/>
  <c r="F108" i="2"/>
  <c r="E108" i="2"/>
  <c r="H108" i="2"/>
  <c r="D108" i="2"/>
  <c r="C108" i="2"/>
  <c r="G107" i="2"/>
  <c r="F107" i="2"/>
  <c r="E107" i="2"/>
  <c r="H107" i="2"/>
  <c r="D107" i="2"/>
  <c r="C107" i="2"/>
  <c r="G106" i="2"/>
  <c r="G131" i="2" s="1"/>
  <c r="F106" i="2"/>
  <c r="F131" i="2" s="1"/>
  <c r="E106" i="2"/>
  <c r="E131" i="2" s="1"/>
  <c r="H106" i="2"/>
  <c r="H131" i="2" s="1"/>
  <c r="D106" i="2"/>
  <c r="D131" i="2" s="1"/>
  <c r="C106" i="2"/>
  <c r="C131" i="2" s="1"/>
  <c r="I121" i="2"/>
  <c r="I119" i="2"/>
  <c r="I118" i="2"/>
  <c r="I117" i="2"/>
  <c r="I116" i="2"/>
  <c r="I115" i="2"/>
  <c r="B114" i="2"/>
  <c r="B135" i="2" s="1"/>
  <c r="I113" i="2"/>
  <c r="I112" i="2"/>
  <c r="I111" i="2"/>
  <c r="I110" i="2"/>
  <c r="I109" i="2"/>
  <c r="I108" i="2"/>
  <c r="I106" i="2"/>
  <c r="I105" i="2"/>
  <c r="I104" i="2"/>
  <c r="B119" i="2"/>
  <c r="B118" i="2"/>
  <c r="B117" i="2"/>
  <c r="B116" i="2"/>
  <c r="B115" i="2"/>
  <c r="B113" i="2"/>
  <c r="B112" i="2"/>
  <c r="B111" i="2"/>
  <c r="B110" i="2"/>
  <c r="B109" i="2"/>
  <c r="B108" i="2"/>
  <c r="B106" i="2"/>
  <c r="B131" i="2" s="1"/>
  <c r="H130" i="2" l="1"/>
  <c r="H146" i="2" s="1"/>
  <c r="H132" i="2"/>
  <c r="H133" i="2"/>
  <c r="H149" i="2" s="1"/>
  <c r="G130" i="2"/>
  <c r="G146" i="2" s="1"/>
  <c r="D130" i="2"/>
  <c r="D146" i="2" s="1"/>
  <c r="D132" i="2"/>
  <c r="D133" i="2"/>
  <c r="D149" i="2" s="1"/>
  <c r="C133" i="2"/>
  <c r="C149" i="2" s="1"/>
  <c r="C132" i="2"/>
  <c r="F133" i="2"/>
  <c r="F149" i="2" s="1"/>
  <c r="F132" i="2"/>
  <c r="E130" i="2"/>
  <c r="E146" i="2" s="1"/>
  <c r="G133" i="2"/>
  <c r="G149" i="2" s="1"/>
  <c r="G132" i="2"/>
  <c r="E133" i="2"/>
  <c r="E149" i="2" s="1"/>
  <c r="E132" i="2"/>
  <c r="F130" i="2"/>
  <c r="C130" i="2"/>
  <c r="C146" i="2" s="1"/>
  <c r="B130" i="2"/>
  <c r="C151" i="2"/>
  <c r="D151" i="2"/>
  <c r="G151" i="2"/>
  <c r="F151" i="2"/>
  <c r="H151" i="2"/>
  <c r="E151" i="2"/>
  <c r="C147" i="2"/>
  <c r="F147" i="2"/>
  <c r="G147" i="2"/>
  <c r="E147" i="2"/>
  <c r="D147" i="2"/>
  <c r="B151" i="2"/>
  <c r="B148" i="2"/>
  <c r="H147" i="2"/>
  <c r="F146" i="2" l="1"/>
  <c r="I135" i="2"/>
  <c r="I151" i="2" s="1"/>
  <c r="I130" i="2"/>
  <c r="B153" i="2"/>
  <c r="E148" i="2"/>
  <c r="F148" i="2"/>
  <c r="C148" i="2"/>
  <c r="H148" i="2"/>
  <c r="B124" i="2"/>
  <c r="B125" i="2" s="1"/>
  <c r="I133" i="2"/>
  <c r="I149" i="2" s="1"/>
  <c r="I132" i="2"/>
  <c r="I148" i="2" s="1"/>
  <c r="G148" i="2"/>
  <c r="D148" i="2"/>
  <c r="B22" i="3"/>
  <c r="H136" i="2" l="1"/>
  <c r="D136" i="2"/>
  <c r="D152" i="2" s="1"/>
  <c r="D134" i="2"/>
  <c r="H134" i="2"/>
  <c r="C134" i="2"/>
  <c r="G136" i="2"/>
  <c r="G134" i="2"/>
  <c r="C136" i="2"/>
  <c r="C152" i="2" s="1"/>
  <c r="B136" i="2"/>
  <c r="B134" i="2"/>
  <c r="B150" i="2" s="1"/>
  <c r="F134" i="2"/>
  <c r="E136" i="2"/>
  <c r="E152" i="2" s="1"/>
  <c r="F136" i="2"/>
  <c r="F152" i="2" s="1"/>
  <c r="E134" i="2"/>
  <c r="I146" i="2"/>
  <c r="B146" i="2"/>
  <c r="I137" i="2"/>
  <c r="I153" i="2" s="1"/>
  <c r="B149" i="2"/>
  <c r="G152" i="2"/>
  <c r="H152" i="2"/>
  <c r="I131" i="2"/>
  <c r="B147" i="2"/>
  <c r="G138" i="2" l="1"/>
  <c r="D138" i="2"/>
  <c r="H138" i="2"/>
  <c r="F138" i="2"/>
  <c r="E138" i="2"/>
  <c r="B138" i="2"/>
  <c r="C138" i="2"/>
  <c r="I147" i="2"/>
  <c r="B152" i="2"/>
  <c r="B154" i="2" s="1"/>
  <c r="I134" i="2"/>
  <c r="I150" i="2" s="1"/>
  <c r="F150" i="2"/>
  <c r="F154" i="2" s="1"/>
  <c r="H150" i="2"/>
  <c r="H154" i="2" s="1"/>
  <c r="D150" i="2"/>
  <c r="D154" i="2" s="1"/>
  <c r="I136" i="2"/>
  <c r="I152" i="2" s="1"/>
  <c r="E150" i="2"/>
  <c r="E154" i="2" s="1"/>
  <c r="G150" i="2"/>
  <c r="G154" i="2" s="1"/>
  <c r="C150" i="2"/>
  <c r="C154" i="2" s="1"/>
  <c r="I138" i="2" l="1"/>
  <c r="I154" i="2" s="1"/>
  <c r="I139" i="2" l="1"/>
  <c r="I155" i="2" s="1"/>
  <c r="I157" i="2" s="1"/>
  <c r="I141" i="2" l="1"/>
</calcChain>
</file>

<file path=xl/sharedStrings.xml><?xml version="1.0" encoding="utf-8"?>
<sst xmlns="http://schemas.openxmlformats.org/spreadsheetml/2006/main" count="574" uniqueCount="249">
  <si>
    <t>Load Balancer</t>
  </si>
  <si>
    <t>Total</t>
  </si>
  <si>
    <t>Items per student per hour</t>
  </si>
  <si>
    <t>Average KB per item</t>
  </si>
  <si>
    <t>Total number of students for Test Delivery</t>
  </si>
  <si>
    <t>Maximum expected number of concurrent students</t>
  </si>
  <si>
    <t>Test Delivery</t>
  </si>
  <si>
    <t>Shared Services</t>
  </si>
  <si>
    <t>Database server</t>
  </si>
  <si>
    <t>Number of load balancers</t>
  </si>
  <si>
    <t>Test Int &amp; Scoring</t>
  </si>
  <si>
    <t>Test Reg &amp; Adm</t>
  </si>
  <si>
    <t>SSO &amp; Perm</t>
  </si>
  <si>
    <t>Mon &amp; Alerting</t>
  </si>
  <si>
    <t>Number of baseline web servers</t>
  </si>
  <si>
    <t>Data Transfer</t>
  </si>
  <si>
    <t>N. Virginia</t>
  </si>
  <si>
    <t>N. California</t>
  </si>
  <si>
    <t>N/A</t>
  </si>
  <si>
    <t>Baseline web server</t>
  </si>
  <si>
    <t>Instance Type</t>
  </si>
  <si>
    <t>Subtotal</t>
  </si>
  <si>
    <t>Percent</t>
  </si>
  <si>
    <t>Max number of on-demand web servers</t>
  </si>
  <si>
    <t>Data Transfer Out</t>
  </si>
  <si>
    <t>Storage Type</t>
  </si>
  <si>
    <t>Million I/O</t>
  </si>
  <si>
    <t>EBS Standard</t>
  </si>
  <si>
    <t>EBS Provisioned IOPS</t>
  </si>
  <si>
    <t>EBS Snapshot to EC3</t>
  </si>
  <si>
    <t>Cost GB/mo</t>
  </si>
  <si>
    <t>Std S</t>
  </si>
  <si>
    <t>Std M</t>
  </si>
  <si>
    <t>Std L</t>
  </si>
  <si>
    <t>Std XL</t>
  </si>
  <si>
    <t>2Gen XL</t>
  </si>
  <si>
    <t>2Gen 2XL</t>
  </si>
  <si>
    <t>High Mem XL</t>
  </si>
  <si>
    <t>High Mem 2XL</t>
  </si>
  <si>
    <t>High Mem 4XL</t>
  </si>
  <si>
    <t>High CPU M</t>
  </si>
  <si>
    <t>High CPU XL</t>
  </si>
  <si>
    <t>Cluster 4XL</t>
  </si>
  <si>
    <t>Cluster 8XL</t>
  </si>
  <si>
    <t>High Mem Cluster 8XL</t>
  </si>
  <si>
    <t>High I/O 4XL</t>
  </si>
  <si>
    <t>High Storage 8XL</t>
  </si>
  <si>
    <t>Oregon</t>
  </si>
  <si>
    <t>TEST DELIVERY INFORMATION</t>
  </si>
  <si>
    <t>Data transfer GB per hour OUT</t>
  </si>
  <si>
    <t>Hours per day of on-demand web server operation</t>
  </si>
  <si>
    <t>Number of days per year of on-demand web server operation</t>
  </si>
  <si>
    <t>Load Balancer Data</t>
  </si>
  <si>
    <t>GB</t>
  </si>
  <si>
    <t>Million I/O Requests</t>
  </si>
  <si>
    <t>Provisioned IOPS per sec</t>
  </si>
  <si>
    <t>Units</t>
  </si>
  <si>
    <t>each</t>
  </si>
  <si>
    <t>GB/hour</t>
  </si>
  <si>
    <t>Seconds per month</t>
  </si>
  <si>
    <t>Assmt Creation &amp; Mgmt</t>
  </si>
  <si>
    <t>Category</t>
  </si>
  <si>
    <t>EC2 Instance</t>
  </si>
  <si>
    <t>EBS Storage</t>
  </si>
  <si>
    <t>RDS Instance</t>
  </si>
  <si>
    <t>DB S</t>
  </si>
  <si>
    <t>DB M</t>
  </si>
  <si>
    <t>DB L</t>
  </si>
  <si>
    <t>DB XL</t>
  </si>
  <si>
    <t>High Mem DB XL</t>
  </si>
  <si>
    <t>High Mem DB 2XL</t>
  </si>
  <si>
    <t>High Mem DB 4XL</t>
  </si>
  <si>
    <t>MultiAZ DB S</t>
  </si>
  <si>
    <t>MultiAZ DB M</t>
  </si>
  <si>
    <t>MultiAZ DB L</t>
  </si>
  <si>
    <t>MultiAZ DB XL</t>
  </si>
  <si>
    <t>MultiAZ High Mem DB XL</t>
  </si>
  <si>
    <t>MultiAZ High Mem DB 2XL</t>
  </si>
  <si>
    <t>MultiAZ High Mem DB 4XL</t>
  </si>
  <si>
    <t>Std EBS Storage</t>
  </si>
  <si>
    <t>Std EBS Storage I/O Requests</t>
  </si>
  <si>
    <t>Std Prov IOPS EBS Storage</t>
  </si>
  <si>
    <t>Std Prov IOPS EBS Storage IOPs</t>
  </si>
  <si>
    <t>DB Prov IOPS EBS Storage</t>
  </si>
  <si>
    <t>DB Prov IOPS EBS Storage IOPs</t>
  </si>
  <si>
    <t>DB Std EBS Storage</t>
  </si>
  <si>
    <t>DB Std EBS Storage I/O Requests</t>
  </si>
  <si>
    <t>DB MultiAZ Prov IOPS EBS Storage</t>
  </si>
  <si>
    <t>DB MultiAZ Prov IOPS EBS Storage IOPs</t>
  </si>
  <si>
    <t>RDS Storage</t>
  </si>
  <si>
    <t>Web Servers (EC2 load balancer and server instances)</t>
  </si>
  <si>
    <t>Web server instance type</t>
  </si>
  <si>
    <t>Database server instance type</t>
  </si>
  <si>
    <t>No DB Server</t>
  </si>
  <si>
    <t>No Web Server</t>
  </si>
  <si>
    <t>Web Server Storage (per instance)</t>
  </si>
  <si>
    <t>Database Storage (single instance)</t>
  </si>
  <si>
    <t>Database Server (single RDS instance)</t>
  </si>
  <si>
    <t>Load balancer</t>
  </si>
  <si>
    <t>Web server</t>
  </si>
  <si>
    <t>Web server storage</t>
  </si>
  <si>
    <t>Database server storage</t>
  </si>
  <si>
    <t>SERVER INPUTS</t>
  </si>
  <si>
    <t>Selected Amazon Availability Zone</t>
  </si>
  <si>
    <t>UNIT COSTS</t>
  </si>
  <si>
    <t>Std S3 Snapshot</t>
  </si>
  <si>
    <t>Std Prov IOPS S3 Snapshot</t>
  </si>
  <si>
    <t>Std EBS Storage (GB)</t>
  </si>
  <si>
    <t>Std EBS Storage I/O Requests (expected avg IOPS/sec)</t>
  </si>
  <si>
    <t>Std S3 Snapshot (GB)</t>
  </si>
  <si>
    <t>Std Prov IOPS EBS Storage (GB)</t>
  </si>
  <si>
    <t>Std Prov IOPS EBS Storage IOPs (IOPS/sec)</t>
  </si>
  <si>
    <t>Std Prov IOPS S3 Snapshot (GB)</t>
  </si>
  <si>
    <t>10^6 I/O Requests</t>
  </si>
  <si>
    <t>Data transfer out</t>
  </si>
  <si>
    <t>Unit costs</t>
  </si>
  <si>
    <t>On-demand web server</t>
  </si>
  <si>
    <t>TOTAL COSTS PER MONTH</t>
  </si>
  <si>
    <t>Days per month</t>
  </si>
  <si>
    <t>Monthly Costs</t>
  </si>
  <si>
    <t>AWS Support Costs</t>
  </si>
  <si>
    <t>Ubuntu Cloud Support Costs</t>
  </si>
  <si>
    <t>AWS Support Tiers</t>
  </si>
  <si>
    <t>Region</t>
  </si>
  <si>
    <t>Table column</t>
  </si>
  <si>
    <t>Ubuntu Support Costs</t>
  </si>
  <si>
    <t>Data Transfer Capacity Overhead</t>
  </si>
  <si>
    <t>On-demand web server weighted utilization</t>
  </si>
  <si>
    <t>On-demand web server utilization</t>
  </si>
  <si>
    <t>Weighted utilization</t>
  </si>
  <si>
    <t>Database overhead</t>
  </si>
  <si>
    <t>CloudWatch Monitoring</t>
  </si>
  <si>
    <t>TOTAL COSTS PER YEAR</t>
  </si>
  <si>
    <t>TEST INTEGRATION &amp; SCORING INFORMATION</t>
  </si>
  <si>
    <t>DB Size</t>
  </si>
  <si>
    <t>GB/hr</t>
  </si>
  <si>
    <t>Provisioned IOPS</t>
  </si>
  <si>
    <t>DB Server IOPS</t>
  </si>
  <si>
    <t>DB Server size</t>
  </si>
  <si>
    <t>TEST REGISTATION AND ADMINISTRATION INFORMATION</t>
  </si>
  <si>
    <t>Data upload hours per day</t>
  </si>
  <si>
    <t>Data upload days</t>
  </si>
  <si>
    <t>Data Out Component Multiplier (data goes to Data Warehouse, partial data goes to Test Delivery and SSO</t>
  </si>
  <si>
    <t>Data out multiplier (a factor to account for the number of times the data will be resent or the amount of incremental data sent)</t>
  </si>
  <si>
    <t>Number of items</t>
  </si>
  <si>
    <t>Average size of an item in KB</t>
  </si>
  <si>
    <t>Test Package overhead (items are replicated in packages)</t>
  </si>
  <si>
    <t>Item Version Overhead (copy item assets for versioning)</t>
  </si>
  <si>
    <t>size in KB of each authentication</t>
  </si>
  <si>
    <t>Total number of users</t>
  </si>
  <si>
    <t>DB overhead including session storage</t>
  </si>
  <si>
    <t>Maximum number of concurrent students per web server</t>
  </si>
  <si>
    <t>Maximum number of concurrent students</t>
  </si>
  <si>
    <t>Number</t>
  </si>
  <si>
    <t>Number of component groups</t>
  </si>
  <si>
    <t>% concurrent students</t>
  </si>
  <si>
    <t>percent</t>
  </si>
  <si>
    <t>Minimum Test Delivery Database Server Storage</t>
  </si>
  <si>
    <t>STATE INFORMATION</t>
  </si>
  <si>
    <t>This spreadsheet models the hosting costs for a state wishing to deploy the Smarter Balanced open source system. The following assumptions apply:</t>
  </si>
  <si>
    <t>1. Cloud deployment on Amazon Web Services (AWS) is assumed. AWS is selected because it is a ubiquitous, robust and full-featured cloud environment, but vendors are under no obligation to use AWS.</t>
  </si>
  <si>
    <t>2. Deployment units are assumed as described in the accompanying Smarter Balanced Hosting Requirements document. These deployment configurations are preliminary and subject to change.</t>
  </si>
  <si>
    <t>3. AWS pricing is valid as of 9 September 2013. AWS pricing is subject to change without notice.</t>
  </si>
  <si>
    <t xml:space="preserve"> </t>
  </si>
  <si>
    <t>The ratio of concurrent students to total students depends on the length of the testing window and other factors. This ratio is displayed to the right of the green input fields.</t>
  </si>
  <si>
    <t>Minimum Test Integration and Scoring Database Server Storage</t>
  </si>
  <si>
    <t>Minimum Test Registration and Administraton Database Server Storage</t>
  </si>
  <si>
    <t>These inputs provide information about the amount of expected traffic per student and the amount of students a single web server can handle. This is combined with the state information above.</t>
  </si>
  <si>
    <r>
      <t xml:space="preserve">Please enter information in the </t>
    </r>
    <r>
      <rPr>
        <b/>
        <u/>
        <sz val="18"/>
        <color theme="1"/>
        <rFont val="Calibri"/>
        <family val="2"/>
        <scheme val="minor"/>
      </rPr>
      <t>green cells only</t>
    </r>
    <r>
      <rPr>
        <b/>
        <sz val="18"/>
        <color theme="1"/>
        <rFont val="Calibri"/>
        <family val="2"/>
        <scheme val="minor"/>
      </rPr>
      <t>. Information in the white cells automatically recalculate based on other settings</t>
    </r>
  </si>
  <si>
    <t>Average KB of registration information per student</t>
  </si>
  <si>
    <t>Multiplier for users and entities based on students</t>
  </si>
  <si>
    <t>These inputs provide information about the amount of non-student users and data that is required for Test Registration.</t>
  </si>
  <si>
    <t>SSO INFORMATION</t>
  </si>
  <si>
    <t>Due to the critical nature of SSO, it is deployed in its own deployment group separate from any other shared service. The same is true for Monitoring and Alerting.</t>
  </si>
  <si>
    <t>Users</t>
  </si>
  <si>
    <t>Peak authentications/hr</t>
  </si>
  <si>
    <t>Peak authentication per hour as a &amp;% of total users</t>
  </si>
  <si>
    <t>Authentications/hr</t>
  </si>
  <si>
    <t>Minimum Single Sign-On Database Server Storage</t>
  </si>
  <si>
    <t>ASSESSMENT CREATION AND MANAGEMENT INFORMATION</t>
  </si>
  <si>
    <t>If Test Authoring is required in your deployment, select "Yes" otherwise select "No"</t>
  </si>
  <si>
    <t>Yes/No List</t>
  </si>
  <si>
    <t>Yes</t>
  </si>
  <si>
    <t>No</t>
  </si>
  <si>
    <t>Is Test Authoring required in your deployment?</t>
  </si>
  <si>
    <t>4. User input is required about state information such as total and concurrent students and for technological input such as database overhead factors, AWS Availability Zones and instance types.</t>
  </si>
  <si>
    <t>10. The costs calculated by this spreadsheet are strictly cloud-based infrastructure and support contract costs. They do not include staffing costs, management costs or any other incidental costs.</t>
  </si>
  <si>
    <t>5. A single Test Registration and Administration deployment group is assumed here that will support multiple Test Delivery nodes. At this time, we are unsure that one single Test Registration and</t>
  </si>
  <si>
    <t>6. This spreadsheet only encompasses the components being developed by Smarter Balanced Contract 11, Test Delivery System. Additional costs may be incurred by deployment of components from</t>
  </si>
  <si>
    <t>9. The costs provided here are estimates based on the information provided and best information known at the time of writing. Actual results may differ somewhat from these estimates.</t>
  </si>
  <si>
    <t xml:space="preserve">    The validity of the costs calculated by this spreadsheet are dependent on the validity of the inputs provided. Some of these inputs require some knowledge of the AWS infrastructure.</t>
  </si>
  <si>
    <t xml:space="preserve">    Administration deployment group can be scaled sufficiently with AWS cloud resources alone to support a state as large as California.</t>
  </si>
  <si>
    <t xml:space="preserve">    other contracts such Item Authoring and Item Bank (RFP-07), Data Warehouse and Reporting (RFP-15) and Digital Library (RFP-23) that are not represented here.</t>
  </si>
  <si>
    <t>7. In order for a state to deploy Test Delivery, all deployment groups in this spreadsheet are required except Assessment Creation and Management. A means of making thew Assessment</t>
  </si>
  <si>
    <t xml:space="preserve">    Creation and Management deployment group optional is provided for states that do not need this component.</t>
  </si>
  <si>
    <t>8. This spreadsheet is primed with inputs consistent with the State of California as a model, and so assumes a worst-case scenario in terms of scale. Other states should input data specific to their needs.</t>
  </si>
  <si>
    <t>High Mem DB 8XL</t>
  </si>
  <si>
    <t>MultiAZ High Mem DB 8XL</t>
  </si>
  <si>
    <t>n/a</t>
  </si>
  <si>
    <t>EC2 General Purpose</t>
  </si>
  <si>
    <t>EC2 Compute Optimized</t>
  </si>
  <si>
    <t>EC2 Memory Optimized</t>
  </si>
  <si>
    <t>EC2 Storage Optimized</t>
  </si>
  <si>
    <t>m3.medium (GP)</t>
  </si>
  <si>
    <t>m3.large (GP)</t>
  </si>
  <si>
    <t>m3.xlarge (GP)</t>
  </si>
  <si>
    <t>m3.2xlarge (GP)</t>
  </si>
  <si>
    <t>c3.large (CO)</t>
  </si>
  <si>
    <t>c3.xlarge (CO)</t>
  </si>
  <si>
    <t>c3.2xlarge (CO)</t>
  </si>
  <si>
    <t>c3.4xlarge (CO)</t>
  </si>
  <si>
    <t>c3.8xlarge (CO)</t>
  </si>
  <si>
    <t>r3.large (MO)</t>
  </si>
  <si>
    <t>r3.xlarge (MO)</t>
  </si>
  <si>
    <t>r3.2xlarge (MO)</t>
  </si>
  <si>
    <t>r3.4xlarge (MO)</t>
  </si>
  <si>
    <t>r3.8xlarge (MO)</t>
  </si>
  <si>
    <t>i2.xlarge (SO)</t>
  </si>
  <si>
    <t>i2.2xlarge (SO)</t>
  </si>
  <si>
    <t>i2.4xlarge (SO)</t>
  </si>
  <si>
    <t>i2.8xlarge (SO)</t>
  </si>
  <si>
    <t>db.m3.medium (DB-GP)</t>
  </si>
  <si>
    <t>db.m3.large (DB-GB)</t>
  </si>
  <si>
    <t>db.m3.xlarge (DB-GP)</t>
  </si>
  <si>
    <t>db.m3.2xlarge (DB-GP)</t>
  </si>
  <si>
    <t>db.m2.xl (DB-MO)</t>
  </si>
  <si>
    <t>db.m2.2xl (DB-MO)</t>
  </si>
  <si>
    <t>db.m2.4xl (DB-MO)</t>
  </si>
  <si>
    <t>db.cr1.8xl (DB-MO)</t>
  </si>
  <si>
    <t>db.m3.medium (DB-GP-MZ)</t>
  </si>
  <si>
    <t>db.m3.large (DB-GB-MZ)</t>
  </si>
  <si>
    <t>db.m3.xlarge (DB-GP-MZ)</t>
  </si>
  <si>
    <t>db.m3.2xlarge (DB-GP-MZ)</t>
  </si>
  <si>
    <t>db.m2.xl (DB-MO-MZ)</t>
  </si>
  <si>
    <t>db.m2.2xl (DB-MO-MZ)</t>
  </si>
  <si>
    <t>db.m2.4xl (DB-MO-MZ)</t>
  </si>
  <si>
    <t>db.cr1.8xl (DB-MO-MZ)</t>
  </si>
  <si>
    <t>Smarter Balanced Hosting Requirements Cost Calculation Spreadsheet Version 2</t>
  </si>
  <si>
    <t>Legend</t>
  </si>
  <si>
    <t>GP=General Purpose</t>
  </si>
  <si>
    <t>CO=Compute Optimized</t>
  </si>
  <si>
    <t>MO=Memory Optimized</t>
  </si>
  <si>
    <t>SO=Storage Optimized</t>
  </si>
  <si>
    <t>DB-GP=Database, General Purpose</t>
  </si>
  <si>
    <t>DB-MO=Database, memory Optimized</t>
  </si>
  <si>
    <t>db.m3.large (DB-GP-MZ)</t>
  </si>
  <si>
    <t>DB-GP-MZ=Databse, General Purpose, Multi-Availability Zone</t>
  </si>
  <si>
    <t>DB-MO-MZ=Database, Memory Optimized, Multi-Availability Zone</t>
  </si>
  <si>
    <t>SSO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</si>
</sst>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00%"/>
    <numFmt numFmtId="167" formatCode="0.000000000000%"/>
    <numFmt numFmtId="168" formatCode="[$-409]mmmm\ d\,\ yyyy;@"/>
  </numFmts>
  <fonts count="7" x14ac:knownFonts="1">
    <font>
      <sz val="11"/>
      <color theme="1"/>
      <name val="Calibri"/>
      <family val="2"/>
      <scheme val="minor"/>
    </font>
    <font>
      <b/>
      <sz val="11"/>
      <color theme="1"/>
      <name val="Calibri"/>
      <family val="2"/>
      <scheme val="minor"/>
    </font>
    <font>
      <sz val="11"/>
      <color theme="0" tint="-0.499984740745262"/>
      <name val="Calibri"/>
      <family val="2"/>
      <scheme val="minor"/>
    </font>
    <font>
      <b/>
      <sz val="18"/>
      <color theme="1"/>
      <name val="Calibri"/>
      <family val="2"/>
      <scheme val="minor"/>
    </font>
    <font>
      <sz val="10"/>
      <name val="Arial"/>
      <family val="2"/>
    </font>
    <font>
      <b/>
      <sz val="16"/>
      <color theme="1"/>
      <name val="Calibri"/>
      <family val="2"/>
      <scheme val="minor"/>
    </font>
    <font>
      <b/>
      <u/>
      <sz val="18"/>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tint="-0.149967955565050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72">
    <xf numFmtId="0" fontId="0" fillId="0" borderId="0" xfId="0"/>
    <xf numFmtId="0" fontId="0" fillId="0" borderId="0" xfId="0" applyAlignment="1">
      <alignment horizontal="center"/>
    </xf>
    <xf numFmtId="0" fontId="1" fillId="0" borderId="1" xfId="0" applyFont="1" applyBorder="1"/>
    <xf numFmtId="0" fontId="0" fillId="0" borderId="1" xfId="0" applyBorder="1"/>
    <xf numFmtId="3" fontId="0" fillId="0" borderId="1" xfId="0" applyNumberFormat="1" applyBorder="1"/>
    <xf numFmtId="0" fontId="0" fillId="0" borderId="1" xfId="0" applyFont="1" applyBorder="1"/>
    <xf numFmtId="0" fontId="0" fillId="0" borderId="0" xfId="0" applyBorder="1"/>
    <xf numFmtId="0" fontId="0" fillId="0" borderId="0" xfId="0" applyFill="1" applyBorder="1"/>
    <xf numFmtId="10" fontId="0" fillId="0" borderId="0" xfId="0" applyNumberFormat="1" applyBorder="1"/>
    <xf numFmtId="0" fontId="0" fillId="0" borderId="0" xfId="0" applyFont="1" applyBorder="1"/>
    <xf numFmtId="0" fontId="1" fillId="0" borderId="0" xfId="0" applyFont="1" applyFill="1" applyBorder="1"/>
    <xf numFmtId="0" fontId="0" fillId="0" borderId="0" xfId="0" applyAlignment="1">
      <alignment horizontal="left"/>
    </xf>
    <xf numFmtId="0" fontId="1" fillId="3" borderId="0" xfId="0" applyFont="1" applyFill="1" applyBorder="1"/>
    <xf numFmtId="0" fontId="0" fillId="3" borderId="0" xfId="0" applyFill="1" applyBorder="1"/>
    <xf numFmtId="0" fontId="1" fillId="0" borderId="0" xfId="0" applyFont="1" applyBorder="1" applyAlignment="1">
      <alignment horizontal="center"/>
    </xf>
    <xf numFmtId="0" fontId="0" fillId="0" borderId="0" xfId="0" applyFont="1" applyFill="1" applyBorder="1"/>
    <xf numFmtId="0" fontId="1" fillId="0" borderId="1" xfId="0" applyFont="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9" fontId="0" fillId="0" borderId="1" xfId="0" applyNumberFormat="1" applyBorder="1" applyAlignment="1">
      <alignment horizontal="center"/>
    </xf>
    <xf numFmtId="164" fontId="0" fillId="0" borderId="1" xfId="0" applyNumberFormat="1" applyBorder="1" applyAlignment="1">
      <alignment horizontal="center"/>
    </xf>
    <xf numFmtId="164" fontId="0" fillId="0" borderId="1" xfId="0" applyNumberFormat="1" applyFont="1" applyBorder="1" applyAlignment="1">
      <alignment horizontal="center"/>
    </xf>
    <xf numFmtId="3" fontId="0" fillId="0" borderId="1" xfId="0" applyNumberFormat="1" applyBorder="1" applyAlignment="1">
      <alignment horizontal="left"/>
    </xf>
    <xf numFmtId="164" fontId="0" fillId="0" borderId="1" xfId="0" applyNumberFormat="1" applyFont="1" applyBorder="1"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1" fillId="2" borderId="1" xfId="0" applyFont="1" applyFill="1" applyBorder="1"/>
    <xf numFmtId="0" fontId="0" fillId="2" borderId="1" xfId="0" applyFont="1" applyFill="1" applyBorder="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2" fillId="0" borderId="1" xfId="0" applyFont="1" applyBorder="1" applyAlignment="1">
      <alignment horizontal="center"/>
    </xf>
    <xf numFmtId="0" fontId="1" fillId="2" borderId="2" xfId="0" applyFont="1" applyFill="1" applyBorder="1"/>
    <xf numFmtId="0" fontId="1" fillId="2" borderId="3" xfId="0" applyFont="1" applyFill="1" applyBorder="1" applyAlignment="1">
      <alignment horizontal="center"/>
    </xf>
    <xf numFmtId="3" fontId="1" fillId="2" borderId="3" xfId="0" applyNumberFormat="1" applyFont="1" applyFill="1" applyBorder="1" applyAlignment="1">
      <alignment horizontal="center"/>
    </xf>
    <xf numFmtId="3" fontId="1" fillId="2" borderId="4" xfId="0" applyNumberFormat="1" applyFont="1" applyFill="1" applyBorder="1" applyAlignment="1">
      <alignment horizontal="center"/>
    </xf>
    <xf numFmtId="164" fontId="0" fillId="0" borderId="0" xfId="0" applyNumberFormat="1" applyFont="1" applyBorder="1" applyAlignment="1">
      <alignment horizontal="center"/>
    </xf>
    <xf numFmtId="165" fontId="0" fillId="0" borderId="1" xfId="0" applyNumberFormat="1" applyBorder="1" applyAlignment="1">
      <alignment horizontal="center"/>
    </xf>
    <xf numFmtId="0" fontId="1" fillId="0" borderId="1" xfId="0" applyFont="1" applyFill="1" applyBorder="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0" fontId="0" fillId="0" borderId="1" xfId="0" applyFont="1" applyFill="1" applyBorder="1"/>
    <xf numFmtId="4" fontId="0" fillId="0" borderId="1" xfId="0" applyNumberFormat="1" applyFont="1" applyBorder="1" applyAlignment="1">
      <alignment horizontal="center"/>
    </xf>
    <xf numFmtId="4" fontId="0" fillId="0" borderId="1" xfId="0" applyNumberFormat="1" applyBorder="1" applyAlignment="1">
      <alignment horizontal="center"/>
    </xf>
    <xf numFmtId="4" fontId="0" fillId="0" borderId="2" xfId="0" applyNumberFormat="1" applyFont="1" applyBorder="1" applyAlignment="1">
      <alignment horizontal="center"/>
    </xf>
    <xf numFmtId="4" fontId="0" fillId="0" borderId="3" xfId="0" applyNumberFormat="1" applyFont="1" applyBorder="1" applyAlignment="1">
      <alignment horizontal="center"/>
    </xf>
    <xf numFmtId="4" fontId="0" fillId="0" borderId="4" xfId="0" applyNumberFormat="1" applyFont="1" applyBorder="1" applyAlignment="1">
      <alignment horizontal="center"/>
    </xf>
    <xf numFmtId="3" fontId="1" fillId="2" borderId="1" xfId="0" applyNumberFormat="1" applyFont="1" applyFill="1" applyBorder="1"/>
    <xf numFmtId="0" fontId="0" fillId="2" borderId="1" xfId="0" applyFill="1" applyBorder="1"/>
    <xf numFmtId="9" fontId="1" fillId="2" borderId="1" xfId="0" applyNumberFormat="1" applyFont="1" applyFill="1" applyBorder="1" applyAlignment="1">
      <alignment horizontal="right"/>
    </xf>
    <xf numFmtId="0" fontId="3" fillId="0" borderId="0" xfId="0" applyFont="1" applyBorder="1"/>
    <xf numFmtId="166" fontId="0" fillId="0" borderId="0" xfId="0" applyNumberFormat="1" applyFont="1" applyBorder="1" applyAlignment="1">
      <alignment horizontal="center"/>
    </xf>
    <xf numFmtId="167" fontId="0" fillId="0" borderId="0" xfId="0" applyNumberFormat="1" applyBorder="1"/>
    <xf numFmtId="10" fontId="0" fillId="0" borderId="1" xfId="0" applyNumberFormat="1" applyFont="1" applyBorder="1" applyAlignment="1">
      <alignment horizontal="center"/>
    </xf>
    <xf numFmtId="166" fontId="0" fillId="0" borderId="1" xfId="0" applyNumberFormat="1" applyFont="1" applyBorder="1" applyAlignment="1">
      <alignment horizontal="center"/>
    </xf>
    <xf numFmtId="4" fontId="1" fillId="0" borderId="1" xfId="0" applyNumberFormat="1" applyFont="1" applyBorder="1" applyAlignment="1">
      <alignment horizontal="center"/>
    </xf>
    <xf numFmtId="4" fontId="1" fillId="0" borderId="1" xfId="0" applyNumberFormat="1" applyFont="1" applyFill="1" applyBorder="1" applyAlignment="1">
      <alignment horizontal="center"/>
    </xf>
    <xf numFmtId="4" fontId="0" fillId="0" borderId="0" xfId="0" applyNumberFormat="1" applyFont="1" applyBorder="1" applyAlignment="1">
      <alignment horizontal="center"/>
    </xf>
    <xf numFmtId="4" fontId="0" fillId="0" borderId="0" xfId="0" applyNumberFormat="1" applyBorder="1"/>
    <xf numFmtId="4" fontId="0" fillId="3" borderId="0" xfId="0" applyNumberFormat="1" applyFill="1" applyBorder="1"/>
    <xf numFmtId="9" fontId="1" fillId="2" borderId="1" xfId="0" applyNumberFormat="1" applyFont="1" applyFill="1" applyBorder="1"/>
    <xf numFmtId="0" fontId="0" fillId="2" borderId="1" xfId="0" applyFont="1" applyFill="1" applyBorder="1" applyAlignment="1">
      <alignment vertical="center" wrapText="1"/>
    </xf>
    <xf numFmtId="3" fontId="1" fillId="2" borderId="1" xfId="0" applyNumberFormat="1" applyFont="1" applyFill="1" applyBorder="1" applyAlignment="1">
      <alignment vertical="center"/>
    </xf>
    <xf numFmtId="165" fontId="1" fillId="2" borderId="1" xfId="0" applyNumberFormat="1" applyFont="1" applyFill="1" applyBorder="1" applyAlignment="1">
      <alignment vertical="center"/>
    </xf>
    <xf numFmtId="3" fontId="2" fillId="0" borderId="1" xfId="0" applyNumberFormat="1" applyFont="1" applyBorder="1" applyAlignment="1">
      <alignment horizontal="center"/>
    </xf>
    <xf numFmtId="10" fontId="0" fillId="0" borderId="1" xfId="0" applyNumberFormat="1" applyBorder="1"/>
    <xf numFmtId="3" fontId="0" fillId="0" borderId="0" xfId="0" applyNumberFormat="1" applyBorder="1"/>
    <xf numFmtId="0" fontId="5" fillId="3" borderId="0" xfId="0" applyFont="1" applyFill="1" applyBorder="1"/>
    <xf numFmtId="168" fontId="5" fillId="3" borderId="0" xfId="0" applyNumberFormat="1" applyFont="1" applyFill="1" applyBorder="1" applyAlignment="1">
      <alignment horizontal="left"/>
    </xf>
    <xf numFmtId="3" fontId="1" fillId="2" borderId="1" xfId="0" applyNumberFormat="1" applyFont="1" applyFill="1" applyBorder="1" applyAlignment="1">
      <alignment horizontal="right"/>
    </xf>
    <xf numFmtId="0" fontId="0" fillId="3" borderId="0" xfId="0" applyFont="1" applyFill="1" applyBorder="1" applyAlignment="1">
      <alignment horizontal="left" indent="1"/>
    </xf>
    <xf numFmtId="0" fontId="0" fillId="3" borderId="0" xfId="0" applyFont="1" applyFill="1" applyBorder="1"/>
    <xf numFmtId="0" fontId="1" fillId="0" borderId="0" xfId="0" applyFont="1" applyBorder="1"/>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7"/>
  <sheetViews>
    <sheetView tabSelected="1" zoomScaleNormal="100" zoomScalePageLayoutView="55" workbookViewId="0"/>
  </sheetViews>
  <sheetFormatPr defaultRowHeight="15" x14ac:dyDescent="0.25"/>
  <cols>
    <col min="1" max="1" width="58.28515625" style="6" customWidth="1"/>
    <col min="2" max="2" width="32.140625" style="6" bestFit="1" customWidth="1"/>
    <col min="3" max="3" width="23.42578125" style="6" bestFit="1" customWidth="1"/>
    <col min="4" max="8" width="24.42578125" style="6" bestFit="1" customWidth="1"/>
    <col min="9" max="9" width="24" style="6" bestFit="1" customWidth="1"/>
    <col min="10" max="10" width="20.7109375" style="6" bestFit="1" customWidth="1"/>
    <col min="11" max="16384" width="9.140625" style="6"/>
  </cols>
  <sheetData>
    <row r="1" spans="1:9" ht="21" x14ac:dyDescent="0.35">
      <c r="A1" s="66" t="s">
        <v>237</v>
      </c>
      <c r="B1" s="13"/>
      <c r="C1" s="13"/>
      <c r="D1" s="13"/>
      <c r="E1" s="13"/>
      <c r="F1" s="13"/>
      <c r="G1" s="13"/>
      <c r="H1" s="13"/>
      <c r="I1" s="13"/>
    </row>
    <row r="2" spans="1:9" ht="21" x14ac:dyDescent="0.35">
      <c r="A2" s="67">
        <v>41728</v>
      </c>
      <c r="B2" s="13"/>
      <c r="C2" s="13"/>
      <c r="D2" s="13"/>
      <c r="E2" s="13"/>
      <c r="F2" s="13"/>
      <c r="G2" s="13"/>
      <c r="H2" s="13"/>
      <c r="I2" s="13"/>
    </row>
    <row r="3" spans="1:9" x14ac:dyDescent="0.25">
      <c r="A3" s="12"/>
      <c r="B3" s="13"/>
      <c r="C3" s="13"/>
      <c r="D3" s="13"/>
      <c r="E3" s="13"/>
      <c r="F3" s="13"/>
      <c r="G3" s="13"/>
      <c r="H3" s="13"/>
      <c r="I3" s="13"/>
    </row>
    <row r="4" spans="1:9" x14ac:dyDescent="0.25">
      <c r="A4" s="70" t="s">
        <v>159</v>
      </c>
      <c r="B4" s="13"/>
      <c r="C4" s="13"/>
      <c r="D4" s="13"/>
      <c r="E4" s="13"/>
      <c r="F4" s="13"/>
      <c r="G4" s="13"/>
      <c r="H4" s="13"/>
      <c r="I4" s="13"/>
    </row>
    <row r="5" spans="1:9" x14ac:dyDescent="0.25">
      <c r="A5" s="12"/>
      <c r="B5" s="13"/>
      <c r="C5" s="13"/>
      <c r="D5" s="13"/>
      <c r="E5" s="13"/>
      <c r="F5" s="13"/>
      <c r="G5" s="13"/>
      <c r="H5" s="13"/>
      <c r="I5" s="13"/>
    </row>
    <row r="6" spans="1:9" x14ac:dyDescent="0.25">
      <c r="A6" s="69" t="s">
        <v>160</v>
      </c>
      <c r="B6" s="13"/>
      <c r="C6" s="13"/>
      <c r="D6" s="13"/>
      <c r="E6" s="13"/>
      <c r="F6" s="13"/>
      <c r="G6" s="13"/>
      <c r="H6" s="13"/>
      <c r="I6" s="13"/>
    </row>
    <row r="7" spans="1:9" x14ac:dyDescent="0.25">
      <c r="A7" s="69" t="s">
        <v>161</v>
      </c>
      <c r="B7" s="13"/>
      <c r="C7" s="13"/>
      <c r="D7" s="13"/>
      <c r="E7" s="13"/>
      <c r="F7" s="13"/>
      <c r="G7" s="13"/>
      <c r="H7" s="13"/>
      <c r="I7" s="13"/>
    </row>
    <row r="8" spans="1:9" x14ac:dyDescent="0.25">
      <c r="A8" s="69" t="s">
        <v>162</v>
      </c>
      <c r="B8" s="13"/>
      <c r="C8" s="13"/>
      <c r="D8" s="13"/>
      <c r="E8" s="13"/>
      <c r="F8" s="13"/>
      <c r="G8" s="13"/>
      <c r="H8" s="13"/>
      <c r="I8" s="13"/>
    </row>
    <row r="9" spans="1:9" x14ac:dyDescent="0.25">
      <c r="A9" s="69" t="s">
        <v>185</v>
      </c>
      <c r="B9" s="13"/>
      <c r="C9" s="13"/>
      <c r="D9" s="13"/>
      <c r="E9" s="13"/>
      <c r="F9" s="13"/>
      <c r="G9" s="13"/>
      <c r="H9" s="13"/>
      <c r="I9" s="13"/>
    </row>
    <row r="10" spans="1:9" x14ac:dyDescent="0.25">
      <c r="A10" s="69" t="s">
        <v>190</v>
      </c>
      <c r="B10" s="13"/>
      <c r="C10" s="13"/>
      <c r="D10" s="13"/>
      <c r="E10" s="13"/>
      <c r="F10" s="13"/>
      <c r="G10" s="13"/>
      <c r="H10" s="13"/>
      <c r="I10" s="13"/>
    </row>
    <row r="11" spans="1:9" x14ac:dyDescent="0.25">
      <c r="A11" s="69" t="s">
        <v>187</v>
      </c>
      <c r="B11" s="13"/>
      <c r="C11" s="13"/>
      <c r="D11" s="13"/>
      <c r="E11" s="13"/>
      <c r="F11" s="13"/>
      <c r="G11" s="13"/>
      <c r="H11" s="13"/>
      <c r="I11" s="13"/>
    </row>
    <row r="12" spans="1:9" x14ac:dyDescent="0.25">
      <c r="A12" s="69" t="s">
        <v>191</v>
      </c>
      <c r="B12" s="13"/>
      <c r="C12" s="13"/>
      <c r="D12" s="13"/>
      <c r="E12" s="13"/>
      <c r="F12" s="13"/>
      <c r="G12" s="13"/>
      <c r="H12" s="13"/>
      <c r="I12" s="13"/>
    </row>
    <row r="13" spans="1:9" x14ac:dyDescent="0.25">
      <c r="A13" s="69" t="s">
        <v>188</v>
      </c>
      <c r="B13" s="13"/>
      <c r="C13" s="13"/>
      <c r="D13" s="13"/>
      <c r="E13" s="13"/>
      <c r="F13" s="13"/>
      <c r="G13" s="13"/>
      <c r="H13" s="13"/>
      <c r="I13" s="13"/>
    </row>
    <row r="14" spans="1:9" x14ac:dyDescent="0.25">
      <c r="A14" s="69" t="s">
        <v>192</v>
      </c>
      <c r="B14" s="13"/>
      <c r="C14" s="13"/>
      <c r="D14" s="13"/>
      <c r="E14" s="13"/>
      <c r="F14" s="13"/>
      <c r="G14" s="13"/>
      <c r="H14" s="13"/>
      <c r="I14" s="13"/>
    </row>
    <row r="15" spans="1:9" x14ac:dyDescent="0.25">
      <c r="A15" s="69" t="s">
        <v>193</v>
      </c>
      <c r="B15" s="13"/>
      <c r="C15" s="13"/>
      <c r="D15" s="13"/>
      <c r="E15" s="13"/>
      <c r="F15" s="13"/>
      <c r="G15" s="13"/>
      <c r="H15" s="13"/>
      <c r="I15" s="13"/>
    </row>
    <row r="16" spans="1:9" x14ac:dyDescent="0.25">
      <c r="A16" s="69" t="s">
        <v>194</v>
      </c>
      <c r="B16" s="13"/>
      <c r="C16" s="13"/>
      <c r="D16" s="13"/>
      <c r="E16" s="13"/>
      <c r="F16" s="13"/>
      <c r="G16" s="13"/>
      <c r="H16" s="13"/>
      <c r="I16" s="13"/>
    </row>
    <row r="17" spans="1:9" x14ac:dyDescent="0.25">
      <c r="A17" s="69" t="s">
        <v>195</v>
      </c>
      <c r="B17" s="13"/>
      <c r="C17" s="13"/>
      <c r="D17" s="13"/>
      <c r="E17" s="13"/>
      <c r="F17" s="13"/>
      <c r="G17" s="13"/>
      <c r="H17" s="13"/>
      <c r="I17" s="13"/>
    </row>
    <row r="18" spans="1:9" x14ac:dyDescent="0.25">
      <c r="A18" s="69" t="s">
        <v>189</v>
      </c>
      <c r="B18" s="13"/>
      <c r="C18" s="13"/>
      <c r="D18" s="13"/>
      <c r="E18" s="13"/>
      <c r="F18" s="13"/>
      <c r="G18" s="13"/>
      <c r="H18" s="13"/>
      <c r="I18" s="13"/>
    </row>
    <row r="19" spans="1:9" x14ac:dyDescent="0.25">
      <c r="A19" s="69" t="s">
        <v>186</v>
      </c>
      <c r="B19" s="13"/>
      <c r="C19" s="13"/>
      <c r="D19" s="13"/>
      <c r="E19" s="13"/>
      <c r="F19" s="13"/>
      <c r="G19" s="13"/>
      <c r="H19" s="13"/>
      <c r="I19" s="13"/>
    </row>
    <row r="20" spans="1:9" x14ac:dyDescent="0.25">
      <c r="A20" s="12"/>
      <c r="B20" s="13"/>
      <c r="C20" s="13"/>
      <c r="D20" s="13"/>
      <c r="E20" s="13"/>
      <c r="F20" s="13"/>
      <c r="G20" s="13"/>
      <c r="H20" s="13"/>
      <c r="I20" s="13"/>
    </row>
    <row r="22" spans="1:9" ht="23.25" x14ac:dyDescent="0.35">
      <c r="A22" s="49" t="s">
        <v>168</v>
      </c>
    </row>
    <row r="24" spans="1:9" x14ac:dyDescent="0.25">
      <c r="A24" s="12" t="s">
        <v>158</v>
      </c>
      <c r="B24" s="13"/>
      <c r="C24" s="13"/>
      <c r="D24" s="13"/>
      <c r="E24" s="13"/>
      <c r="F24" s="13"/>
      <c r="G24" s="13"/>
      <c r="H24" s="13"/>
      <c r="I24" s="13"/>
    </row>
    <row r="25" spans="1:9" x14ac:dyDescent="0.25">
      <c r="A25" s="12" t="s">
        <v>164</v>
      </c>
      <c r="B25" s="13"/>
      <c r="C25" s="13"/>
      <c r="D25" s="13"/>
      <c r="E25" s="13"/>
      <c r="F25" s="13"/>
      <c r="G25" s="13"/>
      <c r="H25" s="13"/>
      <c r="I25" s="13"/>
    </row>
    <row r="27" spans="1:9" x14ac:dyDescent="0.25">
      <c r="A27" s="27" t="s">
        <v>4</v>
      </c>
      <c r="B27" s="46">
        <v>3400000</v>
      </c>
    </row>
    <row r="28" spans="1:9" x14ac:dyDescent="0.25">
      <c r="A28" s="27" t="s">
        <v>5</v>
      </c>
      <c r="B28" s="46">
        <v>265229</v>
      </c>
      <c r="D28" s="3" t="s">
        <v>155</v>
      </c>
      <c r="E28" s="64">
        <f>B28/B27</f>
        <v>7.8008529411764713E-2</v>
      </c>
      <c r="F28" s="3" t="s">
        <v>156</v>
      </c>
    </row>
    <row r="29" spans="1:9" x14ac:dyDescent="0.25">
      <c r="C29" s="7"/>
      <c r="D29" s="8"/>
      <c r="E29" s="8"/>
    </row>
    <row r="30" spans="1:9" x14ac:dyDescent="0.25">
      <c r="A30" s="12" t="s">
        <v>48</v>
      </c>
      <c r="B30" s="13"/>
      <c r="C30" s="13"/>
      <c r="D30" s="13"/>
      <c r="E30" s="13"/>
      <c r="F30" s="13"/>
      <c r="G30" s="13" t="s">
        <v>163</v>
      </c>
      <c r="H30" s="13"/>
      <c r="I30" s="13"/>
    </row>
    <row r="31" spans="1:9" x14ac:dyDescent="0.25">
      <c r="A31" s="12" t="s">
        <v>167</v>
      </c>
      <c r="B31" s="13"/>
      <c r="C31" s="13"/>
      <c r="D31" s="13"/>
      <c r="E31" s="13"/>
      <c r="F31" s="13"/>
      <c r="G31" s="13" t="s">
        <v>163</v>
      </c>
      <c r="H31" s="13"/>
      <c r="I31" s="13"/>
    </row>
    <row r="32" spans="1:9" x14ac:dyDescent="0.25">
      <c r="C32" s="7"/>
    </row>
    <row r="33" spans="1:9" x14ac:dyDescent="0.25">
      <c r="A33" s="27" t="s">
        <v>2</v>
      </c>
      <c r="B33" s="46">
        <v>20</v>
      </c>
      <c r="D33" s="3" t="s">
        <v>138</v>
      </c>
      <c r="E33" s="4">
        <f>MAX(E34/10,MinTDStorage)</f>
        <v>2000</v>
      </c>
      <c r="F33" s="3" t="s">
        <v>53</v>
      </c>
    </row>
    <row r="34" spans="1:9" x14ac:dyDescent="0.25">
      <c r="A34" s="27" t="s">
        <v>3</v>
      </c>
      <c r="B34" s="46">
        <v>20</v>
      </c>
      <c r="D34" s="3" t="s">
        <v>137</v>
      </c>
      <c r="E34" s="4">
        <f>MIN(B28,MaxConcurrentStudents)</f>
        <v>20000</v>
      </c>
      <c r="F34" s="3" t="s">
        <v>136</v>
      </c>
    </row>
    <row r="35" spans="1:9" x14ac:dyDescent="0.25">
      <c r="A35" s="47" t="s">
        <v>151</v>
      </c>
      <c r="B35" s="46">
        <v>4000</v>
      </c>
    </row>
    <row r="37" spans="1:9" ht="13.5" customHeight="1" x14ac:dyDescent="0.25">
      <c r="B37" s="9"/>
    </row>
    <row r="38" spans="1:9" x14ac:dyDescent="0.25">
      <c r="A38" s="12" t="s">
        <v>133</v>
      </c>
      <c r="B38" s="13"/>
      <c r="C38" s="13"/>
      <c r="D38" s="13"/>
      <c r="E38" s="13"/>
      <c r="F38" s="13"/>
      <c r="G38" s="13"/>
      <c r="H38" s="13"/>
      <c r="I38" s="13"/>
    </row>
    <row r="39" spans="1:9" x14ac:dyDescent="0.25">
      <c r="B39" s="9"/>
    </row>
    <row r="40" spans="1:9" x14ac:dyDescent="0.25">
      <c r="A40" s="27" t="s">
        <v>144</v>
      </c>
      <c r="B40" s="46">
        <v>200000</v>
      </c>
      <c r="D40" s="3" t="s">
        <v>134</v>
      </c>
      <c r="E40" s="3">
        <f>MAX(CEILING(B40*B42*B41*B43*(100%+B44)/1024^2,1),MinTISStorage)</f>
        <v>239</v>
      </c>
      <c r="F40" s="3" t="s">
        <v>53</v>
      </c>
    </row>
    <row r="41" spans="1:9" x14ac:dyDescent="0.25">
      <c r="A41" s="27" t="s">
        <v>145</v>
      </c>
      <c r="B41" s="46">
        <v>20</v>
      </c>
    </row>
    <row r="42" spans="1:9" x14ac:dyDescent="0.25">
      <c r="A42" s="47" t="s">
        <v>147</v>
      </c>
      <c r="B42" s="46">
        <v>5</v>
      </c>
    </row>
    <row r="43" spans="1:9" x14ac:dyDescent="0.25">
      <c r="A43" s="47" t="s">
        <v>146</v>
      </c>
      <c r="B43" s="46">
        <v>10</v>
      </c>
    </row>
    <row r="44" spans="1:9" x14ac:dyDescent="0.25">
      <c r="A44" s="47" t="s">
        <v>130</v>
      </c>
      <c r="B44" s="59">
        <v>0.25</v>
      </c>
    </row>
    <row r="45" spans="1:9" x14ac:dyDescent="0.25">
      <c r="B45" s="9"/>
    </row>
    <row r="46" spans="1:9" x14ac:dyDescent="0.25">
      <c r="A46" s="12" t="s">
        <v>139</v>
      </c>
      <c r="B46" s="13"/>
      <c r="C46" s="13"/>
      <c r="D46" s="13"/>
      <c r="E46" s="13"/>
      <c r="F46" s="13"/>
      <c r="G46" s="13"/>
      <c r="H46" s="13"/>
      <c r="I46" s="13"/>
    </row>
    <row r="47" spans="1:9" x14ac:dyDescent="0.25">
      <c r="A47" s="12" t="s">
        <v>171</v>
      </c>
      <c r="B47" s="13"/>
      <c r="C47" s="13"/>
      <c r="D47" s="13"/>
      <c r="E47" s="13"/>
      <c r="F47" s="13"/>
      <c r="G47" s="13"/>
      <c r="H47" s="13"/>
      <c r="I47" s="13"/>
    </row>
    <row r="48" spans="1:9" x14ac:dyDescent="0.25">
      <c r="B48" s="9"/>
    </row>
    <row r="49" spans="1:9" x14ac:dyDescent="0.25">
      <c r="A49" s="27" t="s">
        <v>169</v>
      </c>
      <c r="B49" s="46">
        <v>50</v>
      </c>
      <c r="D49" s="3" t="s">
        <v>15</v>
      </c>
      <c r="E49" s="3">
        <f>CEILING(B27*B49*(100%+B50)*(100%+B51)*((B52*B53)/(24*365))*B54*B55/1025^2,1)</f>
        <v>92</v>
      </c>
      <c r="F49" s="3" t="s">
        <v>135</v>
      </c>
    </row>
    <row r="50" spans="1:9" x14ac:dyDescent="0.25">
      <c r="A50" s="27" t="s">
        <v>170</v>
      </c>
      <c r="B50" s="59">
        <v>0.25</v>
      </c>
      <c r="D50" s="3" t="s">
        <v>134</v>
      </c>
      <c r="E50" s="3">
        <f>MAX(CEILING(B27*B49*(100%+B50)*(100%+B51)/1024^2,1),MinTRAStorage)</f>
        <v>254</v>
      </c>
      <c r="F50" s="3" t="s">
        <v>53</v>
      </c>
    </row>
    <row r="51" spans="1:9" x14ac:dyDescent="0.25">
      <c r="A51" s="47" t="s">
        <v>130</v>
      </c>
      <c r="B51" s="59">
        <v>0.25</v>
      </c>
    </row>
    <row r="52" spans="1:9" x14ac:dyDescent="0.25">
      <c r="A52" s="27" t="s">
        <v>140</v>
      </c>
      <c r="B52" s="46">
        <v>6</v>
      </c>
    </row>
    <row r="53" spans="1:9" x14ac:dyDescent="0.25">
      <c r="A53" s="27" t="s">
        <v>141</v>
      </c>
      <c r="B53" s="46">
        <v>60</v>
      </c>
    </row>
    <row r="54" spans="1:9" ht="46.5" customHeight="1" x14ac:dyDescent="0.25">
      <c r="A54" s="60" t="s">
        <v>143</v>
      </c>
      <c r="B54" s="61">
        <v>4</v>
      </c>
    </row>
    <row r="55" spans="1:9" ht="30" x14ac:dyDescent="0.25">
      <c r="A55" s="60" t="s">
        <v>142</v>
      </c>
      <c r="B55" s="62">
        <v>2.2000000000000002</v>
      </c>
    </row>
    <row r="56" spans="1:9" x14ac:dyDescent="0.25">
      <c r="B56" s="9"/>
    </row>
    <row r="57" spans="1:9" x14ac:dyDescent="0.25">
      <c r="A57" s="12" t="s">
        <v>172</v>
      </c>
      <c r="B57" s="13"/>
      <c r="C57" s="13"/>
      <c r="D57" s="13"/>
      <c r="E57" s="13"/>
      <c r="F57" s="13"/>
      <c r="G57" s="13"/>
      <c r="H57" s="13"/>
      <c r="I57" s="13"/>
    </row>
    <row r="58" spans="1:9" x14ac:dyDescent="0.25">
      <c r="A58" s="12" t="s">
        <v>173</v>
      </c>
      <c r="B58" s="13"/>
      <c r="C58" s="13"/>
      <c r="D58" s="13"/>
      <c r="E58" s="13"/>
      <c r="F58" s="13"/>
      <c r="G58" s="13"/>
      <c r="H58" s="13"/>
      <c r="I58" s="13"/>
    </row>
    <row r="59" spans="1:9" x14ac:dyDescent="0.25">
      <c r="B59" s="9"/>
    </row>
    <row r="60" spans="1:9" x14ac:dyDescent="0.25">
      <c r="A60" s="47" t="s">
        <v>176</v>
      </c>
      <c r="B60" s="59">
        <v>0.25</v>
      </c>
      <c r="D60" s="3" t="s">
        <v>149</v>
      </c>
      <c r="E60" s="4">
        <f>B27*B50</f>
        <v>850000</v>
      </c>
      <c r="F60" s="3" t="s">
        <v>174</v>
      </c>
    </row>
    <row r="61" spans="1:9" x14ac:dyDescent="0.25">
      <c r="A61" s="27" t="s">
        <v>148</v>
      </c>
      <c r="B61" s="46">
        <v>50</v>
      </c>
      <c r="D61" s="3" t="s">
        <v>175</v>
      </c>
      <c r="E61" s="4">
        <f>B60*E60</f>
        <v>212500</v>
      </c>
      <c r="F61" s="3" t="s">
        <v>177</v>
      </c>
    </row>
    <row r="62" spans="1:9" x14ac:dyDescent="0.25">
      <c r="A62" s="47" t="s">
        <v>150</v>
      </c>
      <c r="B62" s="59">
        <v>0.5</v>
      </c>
      <c r="D62" s="3" t="s">
        <v>15</v>
      </c>
      <c r="E62" s="3">
        <f>CEILING(E61*B61/1025^2,1)</f>
        <v>11</v>
      </c>
      <c r="F62" s="3" t="s">
        <v>135</v>
      </c>
    </row>
    <row r="63" spans="1:9" x14ac:dyDescent="0.25">
      <c r="D63" s="3" t="s">
        <v>134</v>
      </c>
      <c r="E63" s="3">
        <f>MAX(CEILING(E60*B61*(100%+B62)/1024^2,1),MinSSOStorage)</f>
        <v>61</v>
      </c>
      <c r="F63" s="3" t="s">
        <v>53</v>
      </c>
    </row>
    <row r="65" spans="1:10" x14ac:dyDescent="0.25">
      <c r="A65" s="12" t="s">
        <v>179</v>
      </c>
      <c r="B65" s="13"/>
      <c r="C65" s="13"/>
      <c r="D65" s="13"/>
      <c r="E65" s="13"/>
      <c r="F65" s="13"/>
      <c r="G65" s="13"/>
      <c r="H65" s="13"/>
      <c r="I65" s="13"/>
    </row>
    <row r="66" spans="1:10" x14ac:dyDescent="0.25">
      <c r="A66" s="12" t="s">
        <v>180</v>
      </c>
      <c r="B66" s="13"/>
      <c r="C66" s="13"/>
      <c r="D66" s="13"/>
      <c r="E66" s="13"/>
      <c r="F66" s="13"/>
      <c r="G66" s="13"/>
      <c r="H66" s="13"/>
      <c r="I66" s="13"/>
    </row>
    <row r="68" spans="1:10" x14ac:dyDescent="0.25">
      <c r="A68" s="27" t="s">
        <v>184</v>
      </c>
      <c r="B68" s="68" t="s">
        <v>182</v>
      </c>
    </row>
    <row r="70" spans="1:10" x14ac:dyDescent="0.25">
      <c r="A70" s="12" t="s">
        <v>102</v>
      </c>
      <c r="B70" s="13"/>
      <c r="C70" s="13"/>
      <c r="D70" s="13"/>
      <c r="E70" s="13"/>
      <c r="F70" s="13"/>
      <c r="G70" s="13"/>
      <c r="H70" s="13"/>
      <c r="I70" s="13"/>
    </row>
    <row r="71" spans="1:10" x14ac:dyDescent="0.25">
      <c r="B71" s="9"/>
    </row>
    <row r="72" spans="1:10" x14ac:dyDescent="0.25">
      <c r="A72" s="27" t="s">
        <v>103</v>
      </c>
      <c r="B72" s="48" t="s">
        <v>16</v>
      </c>
    </row>
    <row r="73" spans="1:10" x14ac:dyDescent="0.25">
      <c r="A73" s="27" t="s">
        <v>126</v>
      </c>
      <c r="B73" s="48">
        <v>0.25</v>
      </c>
      <c r="C73" s="14"/>
    </row>
    <row r="74" spans="1:10" x14ac:dyDescent="0.25">
      <c r="A74" s="10"/>
    </row>
    <row r="75" spans="1:10" x14ac:dyDescent="0.25">
      <c r="A75" s="26" t="s">
        <v>90</v>
      </c>
      <c r="B75" s="28" t="s">
        <v>6</v>
      </c>
      <c r="C75" s="28" t="s">
        <v>10</v>
      </c>
      <c r="D75" s="28" t="s">
        <v>11</v>
      </c>
      <c r="E75" s="28" t="s">
        <v>248</v>
      </c>
      <c r="F75" s="28" t="s">
        <v>13</v>
      </c>
      <c r="G75" s="28" t="s">
        <v>7</v>
      </c>
      <c r="H75" s="28" t="s">
        <v>60</v>
      </c>
    </row>
    <row r="76" spans="1:10" x14ac:dyDescent="0.25">
      <c r="A76" s="27" t="s">
        <v>154</v>
      </c>
      <c r="B76" s="30">
        <f>CEILING(B28/MaxConcurrentStudents,1)</f>
        <v>14</v>
      </c>
      <c r="C76" s="30">
        <f>B76</f>
        <v>14</v>
      </c>
      <c r="D76" s="30">
        <v>1</v>
      </c>
      <c r="E76" s="30">
        <v>1</v>
      </c>
      <c r="F76" s="30">
        <v>1</v>
      </c>
      <c r="G76" s="30">
        <v>1</v>
      </c>
      <c r="H76" s="30">
        <v>1</v>
      </c>
      <c r="J76" s="65"/>
    </row>
    <row r="77" spans="1:10" x14ac:dyDescent="0.25">
      <c r="A77" s="27" t="s">
        <v>9</v>
      </c>
      <c r="B77" s="28">
        <v>1</v>
      </c>
      <c r="C77" s="29">
        <v>1</v>
      </c>
      <c r="D77" s="29">
        <v>1</v>
      </c>
      <c r="E77" s="29">
        <v>2</v>
      </c>
      <c r="F77" s="29"/>
      <c r="G77" s="29">
        <v>1</v>
      </c>
      <c r="H77" s="29">
        <v>1</v>
      </c>
    </row>
    <row r="78" spans="1:10" x14ac:dyDescent="0.25">
      <c r="A78" s="27" t="s">
        <v>49</v>
      </c>
      <c r="B78" s="30">
        <f>CEILING(B28*B33*B34*(100%+DataCapacityOH)/1024^2,1)</f>
        <v>127</v>
      </c>
      <c r="C78" s="29">
        <v>1</v>
      </c>
      <c r="D78" s="30">
        <f>E49</f>
        <v>92</v>
      </c>
      <c r="E78" s="30">
        <f>E62</f>
        <v>11</v>
      </c>
      <c r="F78" s="29">
        <v>1</v>
      </c>
      <c r="G78" s="29">
        <v>1</v>
      </c>
      <c r="H78" s="29">
        <v>5</v>
      </c>
    </row>
    <row r="79" spans="1:10" x14ac:dyDescent="0.25">
      <c r="A79" s="27" t="s">
        <v>91</v>
      </c>
      <c r="B79" s="28" t="s">
        <v>205</v>
      </c>
      <c r="C79" s="28" t="s">
        <v>205</v>
      </c>
      <c r="D79" s="28" t="s">
        <v>205</v>
      </c>
      <c r="E79" s="28" t="s">
        <v>205</v>
      </c>
      <c r="F79" s="28" t="s">
        <v>205</v>
      </c>
      <c r="G79" s="28" t="s">
        <v>205</v>
      </c>
      <c r="H79" s="28" t="s">
        <v>205</v>
      </c>
    </row>
    <row r="80" spans="1:10" x14ac:dyDescent="0.25">
      <c r="A80" s="27" t="s">
        <v>14</v>
      </c>
      <c r="B80" s="28">
        <v>2</v>
      </c>
      <c r="C80" s="29">
        <v>2</v>
      </c>
      <c r="D80" s="29">
        <v>2</v>
      </c>
      <c r="E80" s="29">
        <v>4</v>
      </c>
      <c r="F80" s="29">
        <v>1</v>
      </c>
      <c r="G80" s="29">
        <v>2</v>
      </c>
      <c r="H80" s="29">
        <v>2</v>
      </c>
      <c r="I80" s="6" t="s">
        <v>239</v>
      </c>
    </row>
    <row r="81" spans="1:9" x14ac:dyDescent="0.25">
      <c r="A81" s="27" t="s">
        <v>23</v>
      </c>
      <c r="B81" s="30">
        <f>CEILING((MIN(MaxConcurrentStudents,B28)-(B80*B35))/B35,1)</f>
        <v>3</v>
      </c>
      <c r="C81" s="29">
        <v>1</v>
      </c>
      <c r="D81" s="29">
        <v>1</v>
      </c>
      <c r="E81" s="29">
        <v>0</v>
      </c>
      <c r="F81" s="29"/>
      <c r="G81" s="29">
        <v>2</v>
      </c>
      <c r="H81" s="29">
        <v>1</v>
      </c>
      <c r="I81" s="6" t="s">
        <v>240</v>
      </c>
    </row>
    <row r="82" spans="1:9" x14ac:dyDescent="0.25">
      <c r="A82" s="27" t="s">
        <v>50</v>
      </c>
      <c r="B82" s="28">
        <v>8</v>
      </c>
      <c r="C82" s="29">
        <v>16</v>
      </c>
      <c r="D82" s="29">
        <v>16</v>
      </c>
      <c r="E82" s="29">
        <v>8</v>
      </c>
      <c r="F82" s="29"/>
      <c r="G82" s="29">
        <v>10</v>
      </c>
      <c r="H82" s="29">
        <v>16</v>
      </c>
      <c r="I82" s="7" t="s">
        <v>241</v>
      </c>
    </row>
    <row r="83" spans="1:9" x14ac:dyDescent="0.25">
      <c r="A83" s="27" t="s">
        <v>51</v>
      </c>
      <c r="B83" s="28">
        <v>120</v>
      </c>
      <c r="C83" s="29">
        <v>200</v>
      </c>
      <c r="D83" s="29">
        <v>200</v>
      </c>
      <c r="E83" s="29">
        <v>200</v>
      </c>
      <c r="F83" s="29"/>
      <c r="G83" s="29">
        <v>200</v>
      </c>
      <c r="H83" s="29">
        <v>200</v>
      </c>
      <c r="I83" s="7" t="s">
        <v>242</v>
      </c>
    </row>
    <row r="84" spans="1:9" x14ac:dyDescent="0.25">
      <c r="A84" s="31" t="s">
        <v>95</v>
      </c>
      <c r="B84" s="32"/>
      <c r="C84" s="33"/>
      <c r="D84" s="33"/>
      <c r="E84" s="33"/>
      <c r="F84" s="33"/>
      <c r="G84" s="34"/>
      <c r="H84" s="33"/>
    </row>
    <row r="85" spans="1:9" x14ac:dyDescent="0.25">
      <c r="A85" s="27" t="s">
        <v>107</v>
      </c>
      <c r="B85" s="28"/>
      <c r="C85" s="29"/>
      <c r="D85" s="29"/>
      <c r="E85" s="29"/>
      <c r="F85" s="29"/>
      <c r="G85" s="29"/>
      <c r="H85" s="29"/>
    </row>
    <row r="86" spans="1:9" x14ac:dyDescent="0.25">
      <c r="A86" s="27" t="s">
        <v>108</v>
      </c>
      <c r="B86" s="28"/>
      <c r="C86" s="29"/>
      <c r="D86" s="29"/>
      <c r="E86" s="29"/>
      <c r="F86" s="29"/>
      <c r="G86" s="29"/>
      <c r="H86" s="29"/>
    </row>
    <row r="87" spans="1:9" x14ac:dyDescent="0.25">
      <c r="A87" s="27" t="s">
        <v>109</v>
      </c>
      <c r="B87" s="28"/>
      <c r="C87" s="29"/>
      <c r="D87" s="29"/>
      <c r="E87" s="29"/>
      <c r="F87" s="29"/>
      <c r="G87" s="29"/>
      <c r="H87" s="29"/>
    </row>
    <row r="88" spans="1:9" x14ac:dyDescent="0.25">
      <c r="A88" s="27" t="s">
        <v>110</v>
      </c>
      <c r="B88" s="28"/>
      <c r="C88" s="29"/>
      <c r="D88" s="29"/>
      <c r="E88" s="30">
        <f>MAX(E63,MinSSOStorage)</f>
        <v>61</v>
      </c>
      <c r="F88" s="29">
        <v>250</v>
      </c>
      <c r="G88" s="29"/>
      <c r="H88" s="29"/>
    </row>
    <row r="89" spans="1:9" x14ac:dyDescent="0.25">
      <c r="A89" s="27" t="s">
        <v>111</v>
      </c>
      <c r="B89" s="28"/>
      <c r="C89" s="29"/>
      <c r="D89" s="29"/>
      <c r="E89" s="63">
        <f>CEILING(E88*3,100)</f>
        <v>200</v>
      </c>
      <c r="F89" s="29">
        <v>750</v>
      </c>
      <c r="G89" s="29"/>
      <c r="H89" s="29"/>
    </row>
    <row r="90" spans="1:9" x14ac:dyDescent="0.25">
      <c r="A90" s="27" t="s">
        <v>112</v>
      </c>
      <c r="B90" s="28"/>
      <c r="C90" s="29"/>
      <c r="D90" s="29"/>
      <c r="E90" s="63">
        <f>E88*2</f>
        <v>122</v>
      </c>
      <c r="F90" s="29">
        <v>350</v>
      </c>
      <c r="G90" s="29"/>
      <c r="H90" s="29"/>
    </row>
    <row r="91" spans="1:9" x14ac:dyDescent="0.25">
      <c r="A91" s="31" t="s">
        <v>97</v>
      </c>
      <c r="B91" s="32"/>
      <c r="C91" s="33"/>
      <c r="D91" s="33"/>
      <c r="E91" s="33"/>
      <c r="F91" s="33"/>
      <c r="G91" s="34"/>
      <c r="H91" s="33"/>
    </row>
    <row r="92" spans="1:9" x14ac:dyDescent="0.25">
      <c r="A92" s="27" t="s">
        <v>92</v>
      </c>
      <c r="B92" s="28" t="s">
        <v>235</v>
      </c>
      <c r="C92" s="28" t="s">
        <v>231</v>
      </c>
      <c r="D92" s="28" t="s">
        <v>231</v>
      </c>
      <c r="E92" s="28" t="s">
        <v>93</v>
      </c>
      <c r="F92" s="28" t="s">
        <v>93</v>
      </c>
      <c r="G92" s="28" t="s">
        <v>230</v>
      </c>
      <c r="H92" s="28" t="s">
        <v>225</v>
      </c>
      <c r="I92" s="71" t="s">
        <v>238</v>
      </c>
    </row>
    <row r="93" spans="1:9" x14ac:dyDescent="0.25">
      <c r="A93" s="31" t="s">
        <v>96</v>
      </c>
      <c r="B93" s="32"/>
      <c r="C93" s="33"/>
      <c r="D93" s="33"/>
      <c r="E93" s="33"/>
      <c r="F93" s="33"/>
      <c r="G93" s="34"/>
      <c r="H93" s="29"/>
      <c r="I93" s="6" t="s">
        <v>243</v>
      </c>
    </row>
    <row r="94" spans="1:9" x14ac:dyDescent="0.25">
      <c r="A94" s="27" t="s">
        <v>85</v>
      </c>
      <c r="B94" s="28"/>
      <c r="C94" s="29"/>
      <c r="D94" s="29"/>
      <c r="E94" s="29"/>
      <c r="F94" s="29"/>
      <c r="G94" s="29"/>
      <c r="H94" s="29"/>
      <c r="I94" s="6" t="s">
        <v>244</v>
      </c>
    </row>
    <row r="95" spans="1:9" x14ac:dyDescent="0.25">
      <c r="A95" s="27" t="s">
        <v>86</v>
      </c>
      <c r="B95" s="28"/>
      <c r="C95" s="29"/>
      <c r="D95" s="29"/>
      <c r="E95" s="29"/>
      <c r="F95" s="29"/>
      <c r="G95" s="29"/>
      <c r="H95" s="29"/>
      <c r="I95" s="7" t="s">
        <v>246</v>
      </c>
    </row>
    <row r="96" spans="1:9" x14ac:dyDescent="0.25">
      <c r="A96" s="27" t="s">
        <v>83</v>
      </c>
      <c r="B96" s="28"/>
      <c r="C96" s="29"/>
      <c r="D96" s="29"/>
      <c r="E96" s="29"/>
      <c r="F96" s="29"/>
      <c r="G96" s="29"/>
      <c r="H96" s="29"/>
      <c r="I96" s="7" t="s">
        <v>247</v>
      </c>
    </row>
    <row r="97" spans="1:9" x14ac:dyDescent="0.25">
      <c r="A97" s="27" t="s">
        <v>84</v>
      </c>
      <c r="B97" s="28"/>
      <c r="C97" s="29"/>
      <c r="D97" s="29"/>
      <c r="E97" s="29"/>
      <c r="F97" s="29"/>
      <c r="G97" s="29"/>
      <c r="H97" s="29"/>
    </row>
    <row r="98" spans="1:9" x14ac:dyDescent="0.25">
      <c r="A98" s="27" t="s">
        <v>87</v>
      </c>
      <c r="B98" s="63">
        <f>E33</f>
        <v>2000</v>
      </c>
      <c r="C98" s="63">
        <f>E40</f>
        <v>239</v>
      </c>
      <c r="D98" s="63">
        <f>E50</f>
        <v>254</v>
      </c>
      <c r="E98" s="29"/>
      <c r="F98" s="29"/>
      <c r="G98" s="29">
        <v>100</v>
      </c>
      <c r="H98" s="29">
        <v>1000</v>
      </c>
    </row>
    <row r="99" spans="1:9" x14ac:dyDescent="0.25">
      <c r="A99" s="27" t="s">
        <v>88</v>
      </c>
      <c r="B99" s="63">
        <f>E34</f>
        <v>20000</v>
      </c>
      <c r="C99" s="63">
        <f>CEILING(C98*3,100)</f>
        <v>800</v>
      </c>
      <c r="D99" s="63">
        <f>CEILING(D98*3,100)</f>
        <v>800</v>
      </c>
      <c r="E99" s="29"/>
      <c r="F99" s="29"/>
      <c r="G99" s="29">
        <v>300</v>
      </c>
      <c r="H99" s="29">
        <v>3000</v>
      </c>
    </row>
    <row r="100" spans="1:9" x14ac:dyDescent="0.25">
      <c r="A100" s="9"/>
      <c r="B100" s="9"/>
    </row>
    <row r="101" spans="1:9" x14ac:dyDescent="0.25">
      <c r="A101" s="12" t="s">
        <v>104</v>
      </c>
      <c r="B101" s="13"/>
      <c r="C101" s="13"/>
      <c r="D101" s="13"/>
      <c r="E101" s="13"/>
      <c r="F101" s="13"/>
      <c r="G101" s="13"/>
      <c r="H101" s="13"/>
      <c r="I101" s="13"/>
    </row>
    <row r="102" spans="1:9" x14ac:dyDescent="0.25">
      <c r="A102" s="15"/>
      <c r="B102" s="35"/>
      <c r="C102" s="35"/>
      <c r="D102" s="35"/>
      <c r="E102" s="35"/>
      <c r="F102" s="35"/>
      <c r="G102" s="35"/>
      <c r="H102" s="35"/>
    </row>
    <row r="103" spans="1:9" x14ac:dyDescent="0.25">
      <c r="A103" s="37" t="s">
        <v>115</v>
      </c>
      <c r="B103" s="38" t="s">
        <v>6</v>
      </c>
      <c r="C103" s="38" t="s">
        <v>10</v>
      </c>
      <c r="D103" s="38" t="s">
        <v>11</v>
      </c>
      <c r="E103" s="38" t="s">
        <v>12</v>
      </c>
      <c r="F103" s="38" t="s">
        <v>13</v>
      </c>
      <c r="G103" s="38" t="s">
        <v>7</v>
      </c>
      <c r="H103" s="38" t="s">
        <v>60</v>
      </c>
      <c r="I103" s="39" t="s">
        <v>56</v>
      </c>
    </row>
    <row r="104" spans="1:9" x14ac:dyDescent="0.25">
      <c r="A104" s="5" t="s">
        <v>0</v>
      </c>
      <c r="B104" s="21">
        <f t="shared" ref="B104:H106" si="0">IFERROR(VLOOKUP($A104,EC2costs,VLOOKUP(SelectedRegion,Region,2,FALSE),FALSE),0)</f>
        <v>2.5000000000000001E-2</v>
      </c>
      <c r="C104" s="21">
        <f t="shared" si="0"/>
        <v>2.5000000000000001E-2</v>
      </c>
      <c r="D104" s="21">
        <f t="shared" si="0"/>
        <v>2.5000000000000001E-2</v>
      </c>
      <c r="E104" s="21">
        <f t="shared" si="0"/>
        <v>2.5000000000000001E-2</v>
      </c>
      <c r="F104" s="21">
        <f t="shared" si="0"/>
        <v>2.5000000000000001E-2</v>
      </c>
      <c r="G104" s="21">
        <f t="shared" si="0"/>
        <v>2.5000000000000001E-2</v>
      </c>
      <c r="H104" s="21">
        <f t="shared" si="0"/>
        <v>2.5000000000000001E-2</v>
      </c>
      <c r="I104" s="21" t="str">
        <f>IFERROR(VLOOKUP($A104,EC2costs,5,FALSE),0)</f>
        <v>each</v>
      </c>
    </row>
    <row r="105" spans="1:9" x14ac:dyDescent="0.25">
      <c r="A105" s="40" t="s">
        <v>52</v>
      </c>
      <c r="B105" s="21">
        <f t="shared" si="0"/>
        <v>8.0000000000000002E-3</v>
      </c>
      <c r="C105" s="21">
        <f t="shared" si="0"/>
        <v>8.0000000000000002E-3</v>
      </c>
      <c r="D105" s="21">
        <f t="shared" si="0"/>
        <v>8.0000000000000002E-3</v>
      </c>
      <c r="E105" s="21">
        <f t="shared" si="0"/>
        <v>8.0000000000000002E-3</v>
      </c>
      <c r="F105" s="21">
        <f t="shared" si="0"/>
        <v>8.0000000000000002E-3</v>
      </c>
      <c r="G105" s="21">
        <f t="shared" si="0"/>
        <v>8.0000000000000002E-3</v>
      </c>
      <c r="H105" s="21">
        <f t="shared" si="0"/>
        <v>8.0000000000000002E-3</v>
      </c>
      <c r="I105" s="21" t="str">
        <f>IFERROR(VLOOKUP($A105,EC2costs,5,FALSE),0)</f>
        <v>GB/hour</v>
      </c>
    </row>
    <row r="106" spans="1:9" x14ac:dyDescent="0.25">
      <c r="A106" s="40" t="s">
        <v>24</v>
      </c>
      <c r="B106" s="21">
        <f t="shared" si="0"/>
        <v>0.12</v>
      </c>
      <c r="C106" s="21">
        <f t="shared" si="0"/>
        <v>0.12</v>
      </c>
      <c r="D106" s="21">
        <f t="shared" si="0"/>
        <v>0.12</v>
      </c>
      <c r="E106" s="21">
        <f t="shared" si="0"/>
        <v>0.12</v>
      </c>
      <c r="F106" s="21">
        <f t="shared" si="0"/>
        <v>0.12</v>
      </c>
      <c r="G106" s="21">
        <f t="shared" si="0"/>
        <v>0.12</v>
      </c>
      <c r="H106" s="21">
        <f t="shared" si="0"/>
        <v>0.12</v>
      </c>
      <c r="I106" s="21" t="str">
        <f>IFERROR(VLOOKUP($A106,EC2costs,5,FALSE),0)</f>
        <v>GB/hour</v>
      </c>
    </row>
    <row r="107" spans="1:9" x14ac:dyDescent="0.25">
      <c r="A107" s="40" t="s">
        <v>99</v>
      </c>
      <c r="B107" s="21">
        <f>IFERROR(VLOOKUP(B79,EC2costs,VLOOKUP(SelectedRegion,Region,2,FALSE),FALSE),0)</f>
        <v>0.28000000000000003</v>
      </c>
      <c r="C107" s="21">
        <f t="shared" ref="C107:H107" si="1">IFERROR(VLOOKUP(C79,EC2costs,VLOOKUP(SelectedRegion,Region,2,FALSE),FALSE),0)</f>
        <v>0.28000000000000003</v>
      </c>
      <c r="D107" s="21">
        <f t="shared" si="1"/>
        <v>0.28000000000000003</v>
      </c>
      <c r="E107" s="21">
        <f>IFERROR(VLOOKUP(E79,EC2costs,VLOOKUP(SelectedRegion,Region,2,FALSE),FALSE),0)</f>
        <v>0.28000000000000003</v>
      </c>
      <c r="F107" s="21">
        <f>IFERROR(VLOOKUP(F79,EC2costs,VLOOKUP(SelectedRegion,Region,2,FALSE),FALSE),0)</f>
        <v>0.28000000000000003</v>
      </c>
      <c r="G107" s="21">
        <f>IFERROR(VLOOKUP(G79,EC2costs,VLOOKUP(SelectedRegion,Region,2,FALSE),FALSE),0)</f>
        <v>0.28000000000000003</v>
      </c>
      <c r="H107" s="21">
        <f t="shared" si="1"/>
        <v>0.28000000000000003</v>
      </c>
      <c r="I107" s="21" t="s">
        <v>57</v>
      </c>
    </row>
    <row r="108" spans="1:9" x14ac:dyDescent="0.25">
      <c r="A108" s="40" t="s">
        <v>79</v>
      </c>
      <c r="B108" s="21">
        <f t="shared" ref="B108:H113" si="2">IFERROR(VLOOKUP($A108,EC2storagecosts,VLOOKUP(SelectedRegion,Region,2,FALSE),FALSE),0)</f>
        <v>0.05</v>
      </c>
      <c r="C108" s="21">
        <f t="shared" si="2"/>
        <v>0.05</v>
      </c>
      <c r="D108" s="21">
        <f t="shared" si="2"/>
        <v>0.05</v>
      </c>
      <c r="E108" s="21">
        <f t="shared" si="2"/>
        <v>0.05</v>
      </c>
      <c r="F108" s="21">
        <f t="shared" si="2"/>
        <v>0.05</v>
      </c>
      <c r="G108" s="21">
        <f t="shared" si="2"/>
        <v>0.05</v>
      </c>
      <c r="H108" s="21">
        <f t="shared" si="2"/>
        <v>0.05</v>
      </c>
      <c r="I108" s="21" t="str">
        <f t="shared" ref="I108:I113" si="3">IFERROR(VLOOKUP($A108,EC2storagecosts,5,FALSE),0)</f>
        <v>GB</v>
      </c>
    </row>
    <row r="109" spans="1:9" x14ac:dyDescent="0.25">
      <c r="A109" s="40" t="s">
        <v>80</v>
      </c>
      <c r="B109" s="21">
        <f t="shared" si="2"/>
        <v>0.05</v>
      </c>
      <c r="C109" s="21">
        <f t="shared" si="2"/>
        <v>0.05</v>
      </c>
      <c r="D109" s="21">
        <f t="shared" si="2"/>
        <v>0.05</v>
      </c>
      <c r="E109" s="21">
        <f t="shared" si="2"/>
        <v>0.05</v>
      </c>
      <c r="F109" s="21">
        <f t="shared" si="2"/>
        <v>0.05</v>
      </c>
      <c r="G109" s="21">
        <f t="shared" si="2"/>
        <v>0.05</v>
      </c>
      <c r="H109" s="21">
        <f t="shared" si="2"/>
        <v>0.05</v>
      </c>
      <c r="I109" s="21" t="str">
        <f t="shared" si="3"/>
        <v>10^6 I/O Requests</v>
      </c>
    </row>
    <row r="110" spans="1:9" x14ac:dyDescent="0.25">
      <c r="A110" s="40" t="s">
        <v>105</v>
      </c>
      <c r="B110" s="21">
        <f t="shared" si="2"/>
        <v>9.5000000000000001E-2</v>
      </c>
      <c r="C110" s="21">
        <f t="shared" si="2"/>
        <v>9.5000000000000001E-2</v>
      </c>
      <c r="D110" s="21">
        <f t="shared" si="2"/>
        <v>9.5000000000000001E-2</v>
      </c>
      <c r="E110" s="21">
        <f t="shared" si="2"/>
        <v>9.5000000000000001E-2</v>
      </c>
      <c r="F110" s="21">
        <f t="shared" si="2"/>
        <v>9.5000000000000001E-2</v>
      </c>
      <c r="G110" s="21">
        <f t="shared" si="2"/>
        <v>9.5000000000000001E-2</v>
      </c>
      <c r="H110" s="21">
        <f t="shared" si="2"/>
        <v>9.5000000000000001E-2</v>
      </c>
      <c r="I110" s="21" t="str">
        <f t="shared" si="3"/>
        <v>GB</v>
      </c>
    </row>
    <row r="111" spans="1:9" x14ac:dyDescent="0.25">
      <c r="A111" s="40" t="s">
        <v>81</v>
      </c>
      <c r="B111" s="21">
        <f t="shared" si="2"/>
        <v>0.125</v>
      </c>
      <c r="C111" s="21">
        <f t="shared" si="2"/>
        <v>0.125</v>
      </c>
      <c r="D111" s="21">
        <f t="shared" si="2"/>
        <v>0.125</v>
      </c>
      <c r="E111" s="21">
        <f t="shared" si="2"/>
        <v>0.125</v>
      </c>
      <c r="F111" s="21">
        <f t="shared" si="2"/>
        <v>0.125</v>
      </c>
      <c r="G111" s="21">
        <f t="shared" si="2"/>
        <v>0.125</v>
      </c>
      <c r="H111" s="21">
        <f t="shared" si="2"/>
        <v>0.125</v>
      </c>
      <c r="I111" s="21" t="str">
        <f t="shared" si="3"/>
        <v>GB</v>
      </c>
    </row>
    <row r="112" spans="1:9" x14ac:dyDescent="0.25">
      <c r="A112" s="40" t="s">
        <v>82</v>
      </c>
      <c r="B112" s="21">
        <f t="shared" si="2"/>
        <v>0.1</v>
      </c>
      <c r="C112" s="21">
        <f t="shared" si="2"/>
        <v>0.1</v>
      </c>
      <c r="D112" s="21">
        <f t="shared" si="2"/>
        <v>0.1</v>
      </c>
      <c r="E112" s="21">
        <f t="shared" si="2"/>
        <v>0.1</v>
      </c>
      <c r="F112" s="21">
        <f t="shared" si="2"/>
        <v>0.1</v>
      </c>
      <c r="G112" s="21">
        <f t="shared" si="2"/>
        <v>0.1</v>
      </c>
      <c r="H112" s="21">
        <f t="shared" si="2"/>
        <v>0.1</v>
      </c>
      <c r="I112" s="21" t="str">
        <f t="shared" si="3"/>
        <v>Provisioned IOPS per sec</v>
      </c>
    </row>
    <row r="113" spans="1:9" x14ac:dyDescent="0.25">
      <c r="A113" s="40" t="s">
        <v>106</v>
      </c>
      <c r="B113" s="21">
        <f t="shared" si="2"/>
        <v>9.5000000000000001E-2</v>
      </c>
      <c r="C113" s="21">
        <f t="shared" si="2"/>
        <v>9.5000000000000001E-2</v>
      </c>
      <c r="D113" s="21">
        <f t="shared" si="2"/>
        <v>9.5000000000000001E-2</v>
      </c>
      <c r="E113" s="21">
        <f t="shared" si="2"/>
        <v>9.5000000000000001E-2</v>
      </c>
      <c r="F113" s="21">
        <f t="shared" si="2"/>
        <v>9.5000000000000001E-2</v>
      </c>
      <c r="G113" s="21">
        <f t="shared" si="2"/>
        <v>9.5000000000000001E-2</v>
      </c>
      <c r="H113" s="21">
        <f t="shared" si="2"/>
        <v>9.5000000000000001E-2</v>
      </c>
      <c r="I113" s="21" t="str">
        <f t="shared" si="3"/>
        <v>GB</v>
      </c>
    </row>
    <row r="114" spans="1:9" x14ac:dyDescent="0.25">
      <c r="A114" s="40" t="s">
        <v>8</v>
      </c>
      <c r="B114" s="21">
        <f t="shared" ref="B114:H114" si="4">IFERROR(VLOOKUP(B92,RDScosts,VLOOKUP(SelectedRegion,Region,2,FALSE),FALSE),0)</f>
        <v>2.64</v>
      </c>
      <c r="C114" s="21">
        <f t="shared" si="4"/>
        <v>0.74</v>
      </c>
      <c r="D114" s="21">
        <f t="shared" si="4"/>
        <v>0.74</v>
      </c>
      <c r="E114" s="21">
        <f>IFERROR(VLOOKUP(E92,RDScosts,VLOOKUP(SelectedRegion,Region,2,FALSE),FALSE),0)</f>
        <v>0</v>
      </c>
      <c r="F114" s="21">
        <f>IFERROR(VLOOKUP(F92,RDScosts,VLOOKUP(SelectedRegion,Region,2,FALSE),FALSE),0)</f>
        <v>0</v>
      </c>
      <c r="G114" s="21">
        <f>IFERROR(VLOOKUP(G92,RDScosts,VLOOKUP(SelectedRegion,Region,2,FALSE),FALSE),0)</f>
        <v>0</v>
      </c>
      <c r="H114" s="21">
        <f t="shared" si="4"/>
        <v>0.33</v>
      </c>
      <c r="I114" s="21" t="s">
        <v>57</v>
      </c>
    </row>
    <row r="115" spans="1:9" x14ac:dyDescent="0.25">
      <c r="A115" s="40" t="s">
        <v>85</v>
      </c>
      <c r="B115" s="21">
        <f t="shared" ref="B115:H120" si="5">IFERROR(VLOOKUP($A115,RDSstoragecosts,VLOOKUP(SelectedRegion,Region,2,FALSE),FALSE),0)</f>
        <v>0.1</v>
      </c>
      <c r="C115" s="21">
        <f t="shared" si="5"/>
        <v>0.1</v>
      </c>
      <c r="D115" s="21">
        <f t="shared" si="5"/>
        <v>0.1</v>
      </c>
      <c r="E115" s="21">
        <f t="shared" si="5"/>
        <v>0.1</v>
      </c>
      <c r="F115" s="21">
        <f t="shared" si="5"/>
        <v>0.1</v>
      </c>
      <c r="G115" s="21">
        <f t="shared" si="5"/>
        <v>0.1</v>
      </c>
      <c r="H115" s="21">
        <f t="shared" si="5"/>
        <v>0.1</v>
      </c>
      <c r="I115" s="21" t="str">
        <f t="shared" ref="I115:I121" si="6">IFERROR(VLOOKUP($A115,RDSstoragecosts,5,FALSE),0)</f>
        <v>GB</v>
      </c>
    </row>
    <row r="116" spans="1:9" x14ac:dyDescent="0.25">
      <c r="A116" s="40" t="s">
        <v>86</v>
      </c>
      <c r="B116" s="21">
        <f t="shared" si="5"/>
        <v>0.1</v>
      </c>
      <c r="C116" s="21">
        <f t="shared" si="5"/>
        <v>0.1</v>
      </c>
      <c r="D116" s="21">
        <f t="shared" si="5"/>
        <v>0.1</v>
      </c>
      <c r="E116" s="21">
        <f t="shared" si="5"/>
        <v>0.1</v>
      </c>
      <c r="F116" s="21">
        <f t="shared" si="5"/>
        <v>0.1</v>
      </c>
      <c r="G116" s="21">
        <f t="shared" si="5"/>
        <v>0.1</v>
      </c>
      <c r="H116" s="21">
        <f t="shared" si="5"/>
        <v>0.1</v>
      </c>
      <c r="I116" s="21" t="str">
        <f t="shared" si="6"/>
        <v>Million I/O Requests</v>
      </c>
    </row>
    <row r="117" spans="1:9" x14ac:dyDescent="0.25">
      <c r="A117" s="40" t="s">
        <v>83</v>
      </c>
      <c r="B117" s="21">
        <f t="shared" si="5"/>
        <v>0.125</v>
      </c>
      <c r="C117" s="21">
        <f t="shared" si="5"/>
        <v>0.125</v>
      </c>
      <c r="D117" s="21">
        <f t="shared" si="5"/>
        <v>0.125</v>
      </c>
      <c r="E117" s="21">
        <f t="shared" si="5"/>
        <v>0.125</v>
      </c>
      <c r="F117" s="21">
        <f t="shared" si="5"/>
        <v>0.125</v>
      </c>
      <c r="G117" s="21">
        <f t="shared" si="5"/>
        <v>0.125</v>
      </c>
      <c r="H117" s="21">
        <f t="shared" si="5"/>
        <v>0.125</v>
      </c>
      <c r="I117" s="21" t="str">
        <f t="shared" si="6"/>
        <v>GB</v>
      </c>
    </row>
    <row r="118" spans="1:9" x14ac:dyDescent="0.25">
      <c r="A118" s="40" t="s">
        <v>84</v>
      </c>
      <c r="B118" s="21">
        <f t="shared" si="5"/>
        <v>0.1</v>
      </c>
      <c r="C118" s="21">
        <f t="shared" si="5"/>
        <v>0.1</v>
      </c>
      <c r="D118" s="21">
        <f t="shared" si="5"/>
        <v>0.1</v>
      </c>
      <c r="E118" s="21">
        <f t="shared" si="5"/>
        <v>0.1</v>
      </c>
      <c r="F118" s="21">
        <f t="shared" si="5"/>
        <v>0.1</v>
      </c>
      <c r="G118" s="21">
        <f t="shared" si="5"/>
        <v>0.1</v>
      </c>
      <c r="H118" s="21">
        <f t="shared" si="5"/>
        <v>0.1</v>
      </c>
      <c r="I118" s="21" t="str">
        <f t="shared" si="6"/>
        <v>Provisioned IOPS per sec</v>
      </c>
    </row>
    <row r="119" spans="1:9" x14ac:dyDescent="0.25">
      <c r="A119" s="40" t="s">
        <v>87</v>
      </c>
      <c r="B119" s="21">
        <f t="shared" si="5"/>
        <v>0.25</v>
      </c>
      <c r="C119" s="21">
        <f t="shared" si="5"/>
        <v>0.25</v>
      </c>
      <c r="D119" s="21">
        <f t="shared" si="5"/>
        <v>0.25</v>
      </c>
      <c r="E119" s="21">
        <f t="shared" si="5"/>
        <v>0.25</v>
      </c>
      <c r="F119" s="21">
        <f t="shared" si="5"/>
        <v>0.25</v>
      </c>
      <c r="G119" s="21">
        <f t="shared" si="5"/>
        <v>0.25</v>
      </c>
      <c r="H119" s="21">
        <f t="shared" si="5"/>
        <v>0.25</v>
      </c>
      <c r="I119" s="21" t="str">
        <f t="shared" si="6"/>
        <v>GB</v>
      </c>
    </row>
    <row r="120" spans="1:9" x14ac:dyDescent="0.25">
      <c r="A120" s="40" t="s">
        <v>88</v>
      </c>
      <c r="B120" s="21">
        <f t="shared" si="5"/>
        <v>0.2</v>
      </c>
      <c r="C120" s="21">
        <f t="shared" si="5"/>
        <v>0.2</v>
      </c>
      <c r="D120" s="21">
        <f t="shared" si="5"/>
        <v>0.2</v>
      </c>
      <c r="E120" s="21">
        <f t="shared" si="5"/>
        <v>0.2</v>
      </c>
      <c r="F120" s="21">
        <f t="shared" si="5"/>
        <v>0.2</v>
      </c>
      <c r="G120" s="21">
        <f t="shared" si="5"/>
        <v>0.2</v>
      </c>
      <c r="H120" s="21">
        <f t="shared" si="5"/>
        <v>0.2</v>
      </c>
      <c r="I120" s="21" t="str">
        <f t="shared" si="6"/>
        <v>Provisioned IOPS per sec</v>
      </c>
    </row>
    <row r="121" spans="1:9" x14ac:dyDescent="0.25">
      <c r="A121" s="40" t="s">
        <v>131</v>
      </c>
      <c r="B121" s="21">
        <f t="shared" ref="B121:H121" si="7">IFERROR(VLOOKUP($A121,CloudwatchCosts,VLOOKUP(SelectedRegion,Region,2,FALSE),FALSE),0)</f>
        <v>3.5</v>
      </c>
      <c r="C121" s="21">
        <f t="shared" si="7"/>
        <v>3.5</v>
      </c>
      <c r="D121" s="21">
        <f t="shared" si="7"/>
        <v>3.5</v>
      </c>
      <c r="E121" s="21">
        <f t="shared" si="7"/>
        <v>3.5</v>
      </c>
      <c r="F121" s="21">
        <f t="shared" si="7"/>
        <v>3.5</v>
      </c>
      <c r="G121" s="21">
        <f t="shared" si="7"/>
        <v>3.5</v>
      </c>
      <c r="H121" s="21">
        <f t="shared" si="7"/>
        <v>3.5</v>
      </c>
      <c r="I121" s="21">
        <f t="shared" si="6"/>
        <v>0</v>
      </c>
    </row>
    <row r="122" spans="1:9" x14ac:dyDescent="0.25">
      <c r="A122" s="15"/>
      <c r="B122" s="35"/>
      <c r="C122" s="35"/>
      <c r="D122" s="35"/>
      <c r="E122" s="35"/>
      <c r="F122" s="35"/>
      <c r="G122" s="35"/>
      <c r="H122" s="35"/>
      <c r="I122" s="35"/>
    </row>
    <row r="123" spans="1:9" x14ac:dyDescent="0.25">
      <c r="A123" s="40" t="s">
        <v>128</v>
      </c>
      <c r="B123" s="52">
        <f>(B82*B83)/(24*365)</f>
        <v>0.1095890410958904</v>
      </c>
      <c r="C123" s="52">
        <f t="shared" ref="C123:H123" si="8">(C82*C83)/(24*365)</f>
        <v>0.36529680365296802</v>
      </c>
      <c r="D123" s="52">
        <f t="shared" si="8"/>
        <v>0.36529680365296802</v>
      </c>
      <c r="E123" s="52">
        <f>(E82*E83)/(24*365)</f>
        <v>0.18264840182648401</v>
      </c>
      <c r="F123" s="52">
        <f>(F82*F83)/(24*365)</f>
        <v>0</v>
      </c>
      <c r="G123" s="52">
        <f>(G82*G83)/(24*365)</f>
        <v>0.22831050228310501</v>
      </c>
      <c r="H123" s="52">
        <f t="shared" si="8"/>
        <v>0.36529680365296802</v>
      </c>
      <c r="I123" s="35"/>
    </row>
    <row r="124" spans="1:9" x14ac:dyDescent="0.25">
      <c r="A124" s="40" t="s">
        <v>127</v>
      </c>
      <c r="B124" s="53">
        <f>B81*B123</f>
        <v>0.32876712328767121</v>
      </c>
      <c r="C124" s="53">
        <f t="shared" ref="C124:H124" si="9">C81*C123</f>
        <v>0.36529680365296802</v>
      </c>
      <c r="D124" s="53">
        <f t="shared" si="9"/>
        <v>0.36529680365296802</v>
      </c>
      <c r="E124" s="53">
        <f>E81*E123</f>
        <v>0</v>
      </c>
      <c r="F124" s="53">
        <f>F81*F123</f>
        <v>0</v>
      </c>
      <c r="G124" s="53">
        <f>G81*G123</f>
        <v>0.45662100456621002</v>
      </c>
      <c r="H124" s="53">
        <f t="shared" si="9"/>
        <v>0.36529680365296802</v>
      </c>
      <c r="I124" s="35"/>
    </row>
    <row r="125" spans="1:9" x14ac:dyDescent="0.25">
      <c r="A125" s="40" t="s">
        <v>129</v>
      </c>
      <c r="B125" s="53">
        <f>SUM(B124:H124)/SUM(B81:H81)</f>
        <v>0.23515981735159816</v>
      </c>
      <c r="C125" s="50"/>
      <c r="D125" s="50"/>
      <c r="E125" s="50"/>
      <c r="F125" s="50"/>
      <c r="G125" s="50"/>
      <c r="H125" s="50"/>
      <c r="I125" s="35"/>
    </row>
    <row r="126" spans="1:9" x14ac:dyDescent="0.25">
      <c r="A126" s="15"/>
      <c r="B126" s="35"/>
      <c r="C126" s="35"/>
      <c r="D126" s="35"/>
      <c r="E126" s="35"/>
      <c r="F126" s="35"/>
      <c r="G126" s="35"/>
      <c r="H126" s="35"/>
    </row>
    <row r="127" spans="1:9" x14ac:dyDescent="0.25">
      <c r="A127" s="12" t="s">
        <v>117</v>
      </c>
      <c r="B127" s="13"/>
      <c r="C127" s="13"/>
      <c r="D127" s="13"/>
      <c r="E127" s="13"/>
      <c r="F127" s="13"/>
      <c r="G127" s="13"/>
      <c r="H127" s="13"/>
      <c r="I127" s="13"/>
    </row>
    <row r="128" spans="1:9" x14ac:dyDescent="0.25">
      <c r="A128" s="15"/>
      <c r="B128" s="35"/>
      <c r="C128" s="35"/>
      <c r="D128" s="35"/>
      <c r="E128" s="35"/>
      <c r="F128" s="35"/>
      <c r="G128" s="35"/>
      <c r="H128" s="35"/>
    </row>
    <row r="129" spans="1:10" x14ac:dyDescent="0.25">
      <c r="A129" s="37" t="s">
        <v>119</v>
      </c>
      <c r="B129" s="54" t="s">
        <v>6</v>
      </c>
      <c r="C129" s="54" t="s">
        <v>10</v>
      </c>
      <c r="D129" s="54" t="s">
        <v>11</v>
      </c>
      <c r="E129" s="54" t="s">
        <v>248</v>
      </c>
      <c r="F129" s="54" t="s">
        <v>13</v>
      </c>
      <c r="G129" s="54" t="s">
        <v>7</v>
      </c>
      <c r="H129" s="54" t="s">
        <v>60</v>
      </c>
      <c r="I129" s="55" t="s">
        <v>1</v>
      </c>
    </row>
    <row r="130" spans="1:10" x14ac:dyDescent="0.25">
      <c r="A130" s="40" t="s">
        <v>98</v>
      </c>
      <c r="B130" s="41">
        <f t="shared" ref="B130" si="10">B$76*CEILING(B77*(24*DaysPerMonth*B104)+(B78*B82*B83/12*(1+DataCapacityOH)*B105),0.01)</f>
        <v>1678.6000000000001</v>
      </c>
      <c r="C130" s="41">
        <f t="shared" ref="C130:D130" si="11">C$76*CEILING(C77*(24*DaysPerMonth*C104)+(C78*C82*C83/12*(1+DataCapacityOH)*C105),0.01)</f>
        <v>293.58</v>
      </c>
      <c r="D130" s="41">
        <f t="shared" si="11"/>
        <v>263.64</v>
      </c>
      <c r="E130" s="41">
        <f>E$76*CEILING(E77*(24*DaysPerMonth*E104)+(E78*E82*E83/12*(1+DataCapacityOH)*E105),0.01)</f>
        <v>51.27</v>
      </c>
      <c r="F130" s="41">
        <f>F$76*CEILING(F77*(24*DaysPerMonth*F104)+(F78*F82*F83/12*(1+DataCapacityOH)*F105),0.01)</f>
        <v>0</v>
      </c>
      <c r="G130" s="41">
        <f>G$76*CEILING(G77*(24*DaysPerMonth*G104)+(G78*G82*G83/12*(1+DataCapacityOH)*G105),0.01)</f>
        <v>19.97</v>
      </c>
      <c r="H130" s="41">
        <f>IF(AssmtCreationMgmt="No",0,H$76*CEILING(H77*(24*DaysPerMonth*H104)+(H78*H82*H83/12*(1+DataCapacityOH)*H105),0.01))</f>
        <v>31.64</v>
      </c>
      <c r="I130" s="42">
        <f t="shared" ref="I130:I137" si="12">SUM(B130:H130)</f>
        <v>2338.6999999999998</v>
      </c>
    </row>
    <row r="131" spans="1:10" x14ac:dyDescent="0.25">
      <c r="A131" s="40" t="s">
        <v>114</v>
      </c>
      <c r="B131" s="41">
        <f t="shared" ref="B131" si="13">CEILING(B78*B82*(B83/12)*B106,0.01)</f>
        <v>1219.2</v>
      </c>
      <c r="C131" s="41">
        <f t="shared" ref="C131:D131" si="14">CEILING(C78*C82*(C83/12)*C106,0.01)</f>
        <v>32</v>
      </c>
      <c r="D131" s="41">
        <f t="shared" si="14"/>
        <v>2944</v>
      </c>
      <c r="E131" s="41">
        <f>CEILING(E78*E82*(E83/12)*E106,0.01)</f>
        <v>176</v>
      </c>
      <c r="F131" s="41">
        <f>CEILING(F78*F82*(F83/12)*F106,0.01)</f>
        <v>0</v>
      </c>
      <c r="G131" s="41">
        <f>CEILING(G78*G82*(G83/12)*G106,0.01)</f>
        <v>20</v>
      </c>
      <c r="H131" s="41">
        <f>IF(AssmtCreationMgmt="No",0,CEILING(H78*H82*(H83/12)*H106,0.01))</f>
        <v>160</v>
      </c>
      <c r="I131" s="42">
        <f t="shared" si="12"/>
        <v>4551.2</v>
      </c>
    </row>
    <row r="132" spans="1:10" x14ac:dyDescent="0.25">
      <c r="A132" s="40" t="s">
        <v>19</v>
      </c>
      <c r="B132" s="41">
        <f t="shared" ref="B132:D132" si="15">B$76*CEILING(B80*24*DaysPerMonth*B107,0.01)</f>
        <v>5738.88</v>
      </c>
      <c r="C132" s="41">
        <f t="shared" si="15"/>
        <v>5738.88</v>
      </c>
      <c r="D132" s="41">
        <f t="shared" si="15"/>
        <v>409.92</v>
      </c>
      <c r="E132" s="41">
        <f>E$76*CEILING(E80*24*DaysPerMonth*E107,0.01)</f>
        <v>819.84</v>
      </c>
      <c r="F132" s="41">
        <f>F$76*CEILING(F80*24*DaysPerMonth*F107,0.01)</f>
        <v>204.96</v>
      </c>
      <c r="G132" s="41">
        <f>G$76*CEILING(G80*24*DaysPerMonth*G107,0.01)</f>
        <v>409.92</v>
      </c>
      <c r="H132" s="41">
        <f>IF(AssmtCreationMgmt="No",0,H$76*CEILING(H80*24*DaysPerMonth*H107,0.01))</f>
        <v>409.92</v>
      </c>
      <c r="I132" s="42">
        <f t="shared" si="12"/>
        <v>13732.32</v>
      </c>
    </row>
    <row r="133" spans="1:10" x14ac:dyDescent="0.25">
      <c r="A133" s="40" t="s">
        <v>116</v>
      </c>
      <c r="B133" s="41">
        <f t="shared" ref="B133:D133" si="16">B$76*CEILING(B81*24*DaysPerMonth*((B82*B83)/(24*365))*B107,0.01)</f>
        <v>943.46</v>
      </c>
      <c r="C133" s="41">
        <f t="shared" si="16"/>
        <v>1048.32</v>
      </c>
      <c r="D133" s="41">
        <f t="shared" si="16"/>
        <v>74.88</v>
      </c>
      <c r="E133" s="41">
        <f>E$76*CEILING(E81*24*DaysPerMonth*((E82*E83)/(24*365))*E107,0.01)</f>
        <v>0</v>
      </c>
      <c r="F133" s="41">
        <f>F$76*CEILING(F81*24*DaysPerMonth*((F82*F83)/(24*365))*F107,0.01)</f>
        <v>0</v>
      </c>
      <c r="G133" s="41">
        <f>G$76*CEILING(G81*24*DaysPerMonth*((G82*G83)/(24*365))*G107,0.01)</f>
        <v>93.59</v>
      </c>
      <c r="H133" s="41">
        <f>IF(AssmtCreationMgmt="No",0,H$76*CEILING(H81*24*DaysPerMonth*((H82*H83)/(24*365))*H107,0.01))</f>
        <v>74.88</v>
      </c>
      <c r="I133" s="42">
        <f t="shared" si="12"/>
        <v>2235.13</v>
      </c>
    </row>
    <row r="134" spans="1:10" x14ac:dyDescent="0.25">
      <c r="A134" s="40" t="s">
        <v>100</v>
      </c>
      <c r="B134" s="41">
        <f t="shared" ref="B134" si="17">B$76*CEILING((B80+B81)*((B85*B108)+(B86*B109*SecondsPerMonth/10^6)+(B87*B110)+(B88*B111)+(B89*B112)+(B90*B113)),0.01)</f>
        <v>0</v>
      </c>
      <c r="C134" s="41">
        <f t="shared" ref="C134:D134" si="18">C$76*CEILING((C80+C81)*((C85*C108)+(C86*C109*SecondsPerMonth/10^6)+(C87*C110)+(C88*C111)+(C89*C112)+(C90*C113)),0.01)</f>
        <v>0</v>
      </c>
      <c r="D134" s="41">
        <f t="shared" si="18"/>
        <v>0</v>
      </c>
      <c r="E134" s="41">
        <f>E$76*CEILING((E80+E81)*((E85*E108)+(E86*E109*SecondsPerMonth/10^6)+(E87*E110)+(E88*E111)+(E89*E112)+(E90*E113)),0.01)</f>
        <v>156.86000000000001</v>
      </c>
      <c r="F134" s="41">
        <f>F$76*CEILING((F80+F81)*((F85*F108)+(F86*F109*SecondsPerMonth/10^6)+(F87*F110)+(F88*F111)+(F89*F112)+(F90*F113)),0.01)</f>
        <v>139.5</v>
      </c>
      <c r="G134" s="41">
        <f>G$76*CEILING((G80+G81)*((G85*G108)+(G86*G109*SecondsPerMonth/10^6)+(G87*G110)+(G88*G111)+(G89*G112)+(G90*G113)),0.01)</f>
        <v>0</v>
      </c>
      <c r="H134" s="41">
        <f>IF(AssmtCreationMgmt="No",0,H$76*CEILING((H80+H81)*((H85*H108)+(H86*H109*SecondsPerMonth/10^6)+(H87*H110)+(H88*H111)+(H89*H112)+(H90*H113)),0.01))</f>
        <v>0</v>
      </c>
      <c r="I134" s="42">
        <f t="shared" si="12"/>
        <v>296.36</v>
      </c>
    </row>
    <row r="135" spans="1:10" x14ac:dyDescent="0.25">
      <c r="A135" s="40" t="s">
        <v>8</v>
      </c>
      <c r="B135" s="41">
        <f t="shared" ref="B135" si="19">B$76*CEILING(B114*24*DaysPerMonth,0.01)</f>
        <v>27054.720000000001</v>
      </c>
      <c r="C135" s="41">
        <f t="shared" ref="C135:D135" si="20">C$76*CEILING(C114*24*DaysPerMonth,0.01)</f>
        <v>7583.52</v>
      </c>
      <c r="D135" s="41">
        <f t="shared" si="20"/>
        <v>541.68000000000006</v>
      </c>
      <c r="E135" s="41">
        <f>E$76*CEILING(E114*24*DaysPerMonth,0.01)</f>
        <v>0</v>
      </c>
      <c r="F135" s="41">
        <f>F$76*CEILING(F114*24*DaysPerMonth,0.01)</f>
        <v>0</v>
      </c>
      <c r="G135" s="41">
        <f>G$76*CEILING(G114*24*DaysPerMonth,0.01)</f>
        <v>0</v>
      </c>
      <c r="H135" s="41">
        <f>IF(AssmtCreationMgmt="No",0,H$76*CEILING(H114*24*DaysPerMonth,0.01))</f>
        <v>241.56</v>
      </c>
      <c r="I135" s="42">
        <f t="shared" si="12"/>
        <v>35421.480000000003</v>
      </c>
      <c r="J135" s="51"/>
    </row>
    <row r="136" spans="1:10" x14ac:dyDescent="0.25">
      <c r="A136" s="40" t="s">
        <v>101</v>
      </c>
      <c r="B136" s="41">
        <f t="shared" ref="B136" si="21">B$76*CEILING((B94*B115)+(B95*B116*SecondsPerMonth/1000000)+(B96*B117)+(B97*B118)+(B98*B119)+(B99*B120),0.01)</f>
        <v>63000</v>
      </c>
      <c r="C136" s="41">
        <f t="shared" ref="C136:D136" si="22">C$76*CEILING((C94*C115)+(C95*C116*SecondsPerMonth/1000000)+(C96*C117)+(C97*C118)+(C98*C119)+(C99*C120),0.01)</f>
        <v>3076.5</v>
      </c>
      <c r="D136" s="41">
        <f t="shared" si="22"/>
        <v>223.5</v>
      </c>
      <c r="E136" s="41">
        <f>E$76*CEILING((E94*E115)+(E95*E116*SecondsPerMonth/1000000)+(E96*E117)+(E97*E118)+(E98*E119)+(E99*E120),0.01)</f>
        <v>0</v>
      </c>
      <c r="F136" s="41">
        <f>F$76*CEILING((F94*F115)+(F95*F116*SecondsPerMonth/1000000)+(F96*F117)+(F97*F118)+(F98*F119)+(F99*F120),0.01)</f>
        <v>0</v>
      </c>
      <c r="G136" s="41">
        <f>G$76*CEILING((G94*G115)+(G95*G116*SecondsPerMonth/1000000)+(G96*G117)+(G97*G118)+(G98*G119)+(G99*G120),0.01)</f>
        <v>85</v>
      </c>
      <c r="H136" s="41">
        <f>IF(AssmtCreationMgmt="No",0,H$76*CEILING((H94*H115)+(H95*H116*SecondsPerMonth/1000000)+(H96*H117)+(H97*H118)+(H98*H119)+(H99*H120),0.01))</f>
        <v>850</v>
      </c>
      <c r="I136" s="42">
        <f t="shared" si="12"/>
        <v>67235</v>
      </c>
    </row>
    <row r="137" spans="1:10" x14ac:dyDescent="0.25">
      <c r="A137" s="40" t="s">
        <v>131</v>
      </c>
      <c r="B137" s="41">
        <f>B$76*CEILING((B80+B81)*B121,0.01)</f>
        <v>245</v>
      </c>
      <c r="C137" s="41">
        <f t="shared" ref="C137:D137" si="23">C$76*CEILING((C80+C81)*C121,0.01)</f>
        <v>147</v>
      </c>
      <c r="D137" s="41">
        <f t="shared" si="23"/>
        <v>10.5</v>
      </c>
      <c r="E137" s="41">
        <f>E$76*CEILING((E80+E81)*E121,0.01)</f>
        <v>14</v>
      </c>
      <c r="F137" s="41">
        <f>F$76*CEILING((F80+F81)*F121,0.01)</f>
        <v>3.5</v>
      </c>
      <c r="G137" s="41">
        <f>G$76*CEILING((G80+G81)*G121,0.01)</f>
        <v>14</v>
      </c>
      <c r="H137" s="41">
        <f>IF(AssmtCreationMgmt="No",0,H$76*CEILING((H80+H81)*H121,0.01))</f>
        <v>10.5</v>
      </c>
      <c r="I137" s="42">
        <f t="shared" si="12"/>
        <v>444.5</v>
      </c>
    </row>
    <row r="138" spans="1:10" x14ac:dyDescent="0.25">
      <c r="A138" s="40" t="s">
        <v>21</v>
      </c>
      <c r="B138" s="41">
        <f t="shared" ref="B138:I138" si="24">SUM(B130:B137)</f>
        <v>99879.86</v>
      </c>
      <c r="C138" s="41">
        <f t="shared" si="24"/>
        <v>17919.8</v>
      </c>
      <c r="D138" s="41">
        <f t="shared" si="24"/>
        <v>4468.12</v>
      </c>
      <c r="E138" s="41">
        <f>SUM(E130:E137)</f>
        <v>1217.9700000000003</v>
      </c>
      <c r="F138" s="41">
        <f>SUM(F130:F137)</f>
        <v>347.96000000000004</v>
      </c>
      <c r="G138" s="41">
        <f>SUM(G130:G137)</f>
        <v>642.48</v>
      </c>
      <c r="H138" s="41">
        <f t="shared" si="24"/>
        <v>1778.5</v>
      </c>
      <c r="I138" s="41">
        <f t="shared" si="24"/>
        <v>126254.69</v>
      </c>
    </row>
    <row r="139" spans="1:10" x14ac:dyDescent="0.25">
      <c r="A139" s="40" t="s">
        <v>120</v>
      </c>
      <c r="B139" s="43"/>
      <c r="C139" s="44"/>
      <c r="D139" s="44"/>
      <c r="E139" s="44"/>
      <c r="F139" s="44"/>
      <c r="G139" s="45"/>
      <c r="H139" s="44"/>
      <c r="I139" s="42">
        <f>CEILING(I138*VLOOKUP(I138,SupportCost,2,TRUE),0.01)</f>
        <v>12625.470000000001</v>
      </c>
    </row>
    <row r="140" spans="1:10" x14ac:dyDescent="0.25">
      <c r="A140" s="40" t="s">
        <v>121</v>
      </c>
      <c r="B140" s="43"/>
      <c r="C140" s="44"/>
      <c r="D140" s="44"/>
      <c r="E140" s="44"/>
      <c r="F140" s="44"/>
      <c r="G140" s="45"/>
      <c r="H140" s="44"/>
      <c r="I140" s="42">
        <f>CEILING(UbuntuSupportCost/12,0.01)</f>
        <v>6250</v>
      </c>
    </row>
    <row r="141" spans="1:10" x14ac:dyDescent="0.25">
      <c r="A141" s="40" t="s">
        <v>1</v>
      </c>
      <c r="B141" s="43"/>
      <c r="C141" s="44"/>
      <c r="D141" s="44"/>
      <c r="E141" s="44"/>
      <c r="F141" s="44"/>
      <c r="G141" s="45"/>
      <c r="H141" s="44"/>
      <c r="I141" s="42">
        <f>SUM(I138:I140)</f>
        <v>145130.16</v>
      </c>
    </row>
    <row r="142" spans="1:10" x14ac:dyDescent="0.25">
      <c r="A142" s="15"/>
      <c r="B142" s="56"/>
      <c r="C142" s="56"/>
      <c r="D142" s="56"/>
      <c r="E142" s="56"/>
      <c r="F142" s="56"/>
      <c r="G142" s="56"/>
      <c r="H142" s="56"/>
      <c r="I142" s="57"/>
    </row>
    <row r="143" spans="1:10" x14ac:dyDescent="0.25">
      <c r="A143" s="12" t="s">
        <v>132</v>
      </c>
      <c r="B143" s="58"/>
      <c r="C143" s="58"/>
      <c r="D143" s="58"/>
      <c r="E143" s="58"/>
      <c r="F143" s="58"/>
      <c r="G143" s="58"/>
      <c r="H143" s="58"/>
      <c r="I143" s="58"/>
    </row>
    <row r="144" spans="1:10" x14ac:dyDescent="0.25">
      <c r="A144" s="15"/>
      <c r="B144" s="56"/>
      <c r="C144" s="56"/>
      <c r="D144" s="56"/>
      <c r="E144" s="56"/>
      <c r="F144" s="56"/>
      <c r="G144" s="56"/>
      <c r="H144" s="56"/>
      <c r="I144" s="57"/>
    </row>
    <row r="145" spans="1:9" x14ac:dyDescent="0.25">
      <c r="A145" s="37" t="s">
        <v>119</v>
      </c>
      <c r="B145" s="54" t="s">
        <v>6</v>
      </c>
      <c r="C145" s="54" t="s">
        <v>10</v>
      </c>
      <c r="D145" s="54" t="s">
        <v>11</v>
      </c>
      <c r="E145" s="54" t="s">
        <v>12</v>
      </c>
      <c r="F145" s="54" t="s">
        <v>13</v>
      </c>
      <c r="G145" s="54" t="s">
        <v>7</v>
      </c>
      <c r="H145" s="54" t="s">
        <v>60</v>
      </c>
      <c r="I145" s="55" t="s">
        <v>1</v>
      </c>
    </row>
    <row r="146" spans="1:9" x14ac:dyDescent="0.25">
      <c r="A146" s="40" t="s">
        <v>98</v>
      </c>
      <c r="B146" s="41">
        <f>B130*12</f>
        <v>20143.2</v>
      </c>
      <c r="C146" s="41">
        <f t="shared" ref="C146:I146" si="25">C130*12</f>
        <v>3522.96</v>
      </c>
      <c r="D146" s="41">
        <f t="shared" si="25"/>
        <v>3163.68</v>
      </c>
      <c r="E146" s="41">
        <f t="shared" ref="E146:G153" si="26">E130*12</f>
        <v>615.24</v>
      </c>
      <c r="F146" s="41">
        <f t="shared" si="26"/>
        <v>0</v>
      </c>
      <c r="G146" s="41">
        <f t="shared" si="26"/>
        <v>239.64</v>
      </c>
      <c r="H146" s="41">
        <f t="shared" si="25"/>
        <v>379.68</v>
      </c>
      <c r="I146" s="41">
        <f t="shared" si="25"/>
        <v>28064.399999999998</v>
      </c>
    </row>
    <row r="147" spans="1:9" x14ac:dyDescent="0.25">
      <c r="A147" s="40" t="s">
        <v>114</v>
      </c>
      <c r="B147" s="41">
        <f t="shared" ref="B147:I147" si="27">B131*12</f>
        <v>14630.400000000001</v>
      </c>
      <c r="C147" s="41">
        <f t="shared" si="27"/>
        <v>384</v>
      </c>
      <c r="D147" s="41">
        <f t="shared" si="27"/>
        <v>35328</v>
      </c>
      <c r="E147" s="41">
        <f t="shared" si="26"/>
        <v>2112</v>
      </c>
      <c r="F147" s="41">
        <f t="shared" si="26"/>
        <v>0</v>
      </c>
      <c r="G147" s="41">
        <f t="shared" si="26"/>
        <v>240</v>
      </c>
      <c r="H147" s="41">
        <f t="shared" si="27"/>
        <v>1920</v>
      </c>
      <c r="I147" s="41">
        <f t="shared" si="27"/>
        <v>54614.399999999994</v>
      </c>
    </row>
    <row r="148" spans="1:9" x14ac:dyDescent="0.25">
      <c r="A148" s="40" t="s">
        <v>19</v>
      </c>
      <c r="B148" s="41">
        <f t="shared" ref="B148:I148" si="28">B132*12</f>
        <v>68866.559999999998</v>
      </c>
      <c r="C148" s="41">
        <f t="shared" si="28"/>
        <v>68866.559999999998</v>
      </c>
      <c r="D148" s="41">
        <f t="shared" si="28"/>
        <v>4919.04</v>
      </c>
      <c r="E148" s="41">
        <f t="shared" si="26"/>
        <v>9838.08</v>
      </c>
      <c r="F148" s="41">
        <f t="shared" si="26"/>
        <v>2459.52</v>
      </c>
      <c r="G148" s="41">
        <f t="shared" si="26"/>
        <v>4919.04</v>
      </c>
      <c r="H148" s="41">
        <f t="shared" si="28"/>
        <v>4919.04</v>
      </c>
      <c r="I148" s="41">
        <f t="shared" si="28"/>
        <v>164787.84</v>
      </c>
    </row>
    <row r="149" spans="1:9" x14ac:dyDescent="0.25">
      <c r="A149" s="40" t="s">
        <v>116</v>
      </c>
      <c r="B149" s="41">
        <f t="shared" ref="B149:I149" si="29">B133*12</f>
        <v>11321.52</v>
      </c>
      <c r="C149" s="41">
        <f t="shared" si="29"/>
        <v>12579.84</v>
      </c>
      <c r="D149" s="41">
        <f t="shared" si="29"/>
        <v>898.56</v>
      </c>
      <c r="E149" s="41">
        <f t="shared" si="26"/>
        <v>0</v>
      </c>
      <c r="F149" s="41">
        <f t="shared" si="26"/>
        <v>0</v>
      </c>
      <c r="G149" s="41">
        <f t="shared" si="26"/>
        <v>1123.08</v>
      </c>
      <c r="H149" s="41">
        <f t="shared" si="29"/>
        <v>898.56</v>
      </c>
      <c r="I149" s="41">
        <f t="shared" si="29"/>
        <v>26821.56</v>
      </c>
    </row>
    <row r="150" spans="1:9" x14ac:dyDescent="0.25">
      <c r="A150" s="40" t="s">
        <v>100</v>
      </c>
      <c r="B150" s="41">
        <f t="shared" ref="B150:I150" si="30">B134*12</f>
        <v>0</v>
      </c>
      <c r="C150" s="41">
        <f t="shared" si="30"/>
        <v>0</v>
      </c>
      <c r="D150" s="41">
        <f t="shared" si="30"/>
        <v>0</v>
      </c>
      <c r="E150" s="41">
        <f t="shared" si="26"/>
        <v>1882.3200000000002</v>
      </c>
      <c r="F150" s="41">
        <f t="shared" si="26"/>
        <v>1674</v>
      </c>
      <c r="G150" s="41">
        <f t="shared" si="26"/>
        <v>0</v>
      </c>
      <c r="H150" s="41">
        <f t="shared" si="30"/>
        <v>0</v>
      </c>
      <c r="I150" s="41">
        <f t="shared" si="30"/>
        <v>3556.32</v>
      </c>
    </row>
    <row r="151" spans="1:9" x14ac:dyDescent="0.25">
      <c r="A151" s="40" t="s">
        <v>8</v>
      </c>
      <c r="B151" s="41">
        <f t="shared" ref="B151:I151" si="31">B135*12</f>
        <v>324656.64000000001</v>
      </c>
      <c r="C151" s="41">
        <f t="shared" si="31"/>
        <v>91002.240000000005</v>
      </c>
      <c r="D151" s="41">
        <f t="shared" si="31"/>
        <v>6500.1600000000008</v>
      </c>
      <c r="E151" s="41">
        <f t="shared" si="26"/>
        <v>0</v>
      </c>
      <c r="F151" s="41">
        <f t="shared" si="26"/>
        <v>0</v>
      </c>
      <c r="G151" s="41">
        <f t="shared" si="26"/>
        <v>0</v>
      </c>
      <c r="H151" s="41">
        <f t="shared" si="31"/>
        <v>2898.7200000000003</v>
      </c>
      <c r="I151" s="41">
        <f t="shared" si="31"/>
        <v>425057.76</v>
      </c>
    </row>
    <row r="152" spans="1:9" x14ac:dyDescent="0.25">
      <c r="A152" s="40" t="s">
        <v>101</v>
      </c>
      <c r="B152" s="41">
        <f t="shared" ref="B152:I152" si="32">B136*12</f>
        <v>756000</v>
      </c>
      <c r="C152" s="41">
        <f t="shared" si="32"/>
        <v>36918</v>
      </c>
      <c r="D152" s="41">
        <f t="shared" si="32"/>
        <v>2682</v>
      </c>
      <c r="E152" s="41">
        <f t="shared" si="26"/>
        <v>0</v>
      </c>
      <c r="F152" s="41">
        <f t="shared" si="26"/>
        <v>0</v>
      </c>
      <c r="G152" s="41">
        <f t="shared" si="26"/>
        <v>1020</v>
      </c>
      <c r="H152" s="41">
        <f t="shared" si="32"/>
        <v>10200</v>
      </c>
      <c r="I152" s="41">
        <f t="shared" si="32"/>
        <v>806820</v>
      </c>
    </row>
    <row r="153" spans="1:9" x14ac:dyDescent="0.25">
      <c r="A153" s="40" t="s">
        <v>131</v>
      </c>
      <c r="B153" s="41">
        <f>B137*12</f>
        <v>2940</v>
      </c>
      <c r="C153" s="41">
        <f t="shared" ref="C153:H153" si="33">C137*12</f>
        <v>1764</v>
      </c>
      <c r="D153" s="41">
        <f t="shared" si="33"/>
        <v>126</v>
      </c>
      <c r="E153" s="41">
        <f t="shared" si="26"/>
        <v>168</v>
      </c>
      <c r="F153" s="41">
        <f t="shared" si="26"/>
        <v>42</v>
      </c>
      <c r="G153" s="41">
        <f t="shared" si="26"/>
        <v>168</v>
      </c>
      <c r="H153" s="41">
        <f t="shared" si="33"/>
        <v>126</v>
      </c>
      <c r="I153" s="41">
        <f>I137*12</f>
        <v>5334</v>
      </c>
    </row>
    <row r="154" spans="1:9" x14ac:dyDescent="0.25">
      <c r="A154" s="40" t="s">
        <v>21</v>
      </c>
      <c r="B154" s="41">
        <f>SUM(B146:B153)</f>
        <v>1198558.32</v>
      </c>
      <c r="C154" s="41">
        <f t="shared" ref="C154:H154" si="34">SUM(C146:C152)</f>
        <v>213273.60000000001</v>
      </c>
      <c r="D154" s="41">
        <f t="shared" si="34"/>
        <v>53491.44</v>
      </c>
      <c r="E154" s="41">
        <f>SUM(E146:E152)</f>
        <v>14447.64</v>
      </c>
      <c r="F154" s="41">
        <f>SUM(F146:F152)</f>
        <v>4133.5200000000004</v>
      </c>
      <c r="G154" s="41">
        <f>SUM(G146:G152)</f>
        <v>7541.76</v>
      </c>
      <c r="H154" s="41">
        <f t="shared" si="34"/>
        <v>21216</v>
      </c>
      <c r="I154" s="41">
        <f>I138*12</f>
        <v>1515056.28</v>
      </c>
    </row>
    <row r="155" spans="1:9" x14ac:dyDescent="0.25">
      <c r="A155" s="40" t="s">
        <v>120</v>
      </c>
      <c r="B155" s="43"/>
      <c r="C155" s="44"/>
      <c r="D155" s="44"/>
      <c r="E155" s="44"/>
      <c r="F155" s="44"/>
      <c r="G155" s="45"/>
      <c r="H155" s="44"/>
      <c r="I155" s="41">
        <f t="shared" ref="I155" si="35">I139*12</f>
        <v>151505.64000000001</v>
      </c>
    </row>
    <row r="156" spans="1:9" x14ac:dyDescent="0.25">
      <c r="A156" s="40" t="s">
        <v>121</v>
      </c>
      <c r="B156" s="43"/>
      <c r="C156" s="44"/>
      <c r="D156" s="44"/>
      <c r="E156" s="44"/>
      <c r="F156" s="44"/>
      <c r="G156" s="45"/>
      <c r="H156" s="44"/>
      <c r="I156" s="41">
        <f>UbuntuSupportCost</f>
        <v>75000</v>
      </c>
    </row>
    <row r="157" spans="1:9" x14ac:dyDescent="0.25">
      <c r="A157" s="40" t="s">
        <v>1</v>
      </c>
      <c r="B157" s="43"/>
      <c r="C157" s="44"/>
      <c r="D157" s="44"/>
      <c r="E157" s="44"/>
      <c r="F157" s="44"/>
      <c r="G157" s="45"/>
      <c r="H157" s="44"/>
      <c r="I157" s="42">
        <f>SUM(I154:I156)</f>
        <v>1741561.92</v>
      </c>
    </row>
  </sheetData>
  <dataValidations count="4">
    <dataValidation type="list" allowBlank="1" showInputMessage="1" showErrorMessage="1" sqref="B72">
      <formula1>RegionNames</formula1>
    </dataValidation>
    <dataValidation type="list" allowBlank="1" showInputMessage="1" showErrorMessage="1" sqref="B79:H79">
      <formula1>EC2names</formula1>
    </dataValidation>
    <dataValidation type="list" allowBlank="1" showInputMessage="1" showErrorMessage="1" sqref="B92:H92">
      <formula1>RDSnames</formula1>
    </dataValidation>
    <dataValidation type="list" allowBlank="1" showInputMessage="1" showErrorMessage="1" sqref="B68">
      <formula1>YesNoList</formula1>
    </dataValidation>
  </dataValidations>
  <pageMargins left="0.5" right="0.5" top="1.5" bottom="1" header="0.3" footer="0.3"/>
  <pageSetup paperSize="17" scale="77" fitToHeight="0" orientation="landscape" r:id="rId1"/>
  <headerFooter>
    <oddHeader>&amp;L&amp;G&amp;R&amp;"-,Bold"&amp;14Smarter Balanced Hosting Requirements 
Cost Calculation Spreadsheet Version 5</oddHeader>
    <oddFooter>&amp;CPage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zoomScale="70" zoomScaleNormal="70" workbookViewId="0">
      <selection activeCell="B8" sqref="B8"/>
    </sheetView>
  </sheetViews>
  <sheetFormatPr defaultRowHeight="15" x14ac:dyDescent="0.25"/>
  <cols>
    <col min="1" max="1" width="65.5703125" bestFit="1" customWidth="1"/>
    <col min="2" max="2" width="12.5703125" style="1" bestFit="1" customWidth="1"/>
    <col min="3" max="3" width="12" style="1" bestFit="1" customWidth="1"/>
    <col min="5" max="5" width="32.140625" style="11" bestFit="1" customWidth="1"/>
    <col min="6" max="6" width="35.85546875" style="11" bestFit="1" customWidth="1"/>
    <col min="7" max="7" width="10.28515625" bestFit="1" customWidth="1"/>
    <col min="8" max="8" width="12" bestFit="1" customWidth="1"/>
    <col min="9" max="9" width="7.5703125" bestFit="1" customWidth="1"/>
    <col min="10" max="10" width="23.28515625" bestFit="1" customWidth="1"/>
    <col min="12" max="12" width="32.140625" style="11" bestFit="1" customWidth="1"/>
    <col min="13" max="13" width="35.85546875" style="11" bestFit="1" customWidth="1"/>
    <col min="14" max="14" width="10.28515625" bestFit="1" customWidth="1"/>
    <col min="15" max="15" width="12" bestFit="1" customWidth="1"/>
    <col min="16" max="16" width="7.5703125" bestFit="1" customWidth="1"/>
    <col min="17" max="17" width="23.28515625" bestFit="1" customWidth="1"/>
  </cols>
  <sheetData>
    <row r="1" spans="1:17" x14ac:dyDescent="0.25">
      <c r="A1" s="2" t="s">
        <v>123</v>
      </c>
      <c r="B1" s="16" t="s">
        <v>124</v>
      </c>
      <c r="E1" s="2" t="s">
        <v>61</v>
      </c>
      <c r="F1" s="2" t="s">
        <v>20</v>
      </c>
      <c r="G1" s="16" t="s">
        <v>16</v>
      </c>
      <c r="H1" s="16" t="s">
        <v>17</v>
      </c>
      <c r="I1" s="16" t="s">
        <v>47</v>
      </c>
      <c r="J1" s="16" t="s">
        <v>56</v>
      </c>
      <c r="L1" s="2" t="s">
        <v>61</v>
      </c>
      <c r="M1" s="2" t="s">
        <v>20</v>
      </c>
      <c r="N1" s="16" t="s">
        <v>16</v>
      </c>
      <c r="O1" s="16" t="s">
        <v>17</v>
      </c>
      <c r="P1" s="16" t="s">
        <v>47</v>
      </c>
      <c r="Q1" s="16" t="s">
        <v>56</v>
      </c>
    </row>
    <row r="2" spans="1:17" x14ac:dyDescent="0.25">
      <c r="A2" s="3" t="s">
        <v>16</v>
      </c>
      <c r="B2" s="17">
        <v>2</v>
      </c>
      <c r="E2" s="5" t="s">
        <v>94</v>
      </c>
      <c r="F2" s="5" t="s">
        <v>94</v>
      </c>
      <c r="G2" s="21">
        <v>0</v>
      </c>
      <c r="H2" s="21">
        <v>0</v>
      </c>
      <c r="I2" s="21">
        <v>0</v>
      </c>
      <c r="J2" s="24" t="s">
        <v>57</v>
      </c>
      <c r="L2" s="5" t="s">
        <v>94</v>
      </c>
      <c r="M2" s="5" t="s">
        <v>94</v>
      </c>
      <c r="N2" s="21">
        <v>0</v>
      </c>
      <c r="O2" s="21">
        <v>0</v>
      </c>
      <c r="P2" s="21">
        <v>0</v>
      </c>
      <c r="Q2" s="24" t="s">
        <v>57</v>
      </c>
    </row>
    <row r="3" spans="1:17" x14ac:dyDescent="0.25">
      <c r="A3" s="3" t="s">
        <v>17</v>
      </c>
      <c r="B3" s="17">
        <v>3</v>
      </c>
      <c r="E3" s="5" t="s">
        <v>15</v>
      </c>
      <c r="F3" s="5" t="s">
        <v>24</v>
      </c>
      <c r="G3" s="21">
        <v>0.12</v>
      </c>
      <c r="H3" s="21">
        <v>0.12</v>
      </c>
      <c r="I3" s="21">
        <v>0.12</v>
      </c>
      <c r="J3" s="25" t="s">
        <v>58</v>
      </c>
      <c r="L3" s="5" t="s">
        <v>15</v>
      </c>
      <c r="M3" s="5" t="s">
        <v>24</v>
      </c>
      <c r="N3" s="21">
        <v>0.12</v>
      </c>
      <c r="O3" s="21">
        <v>0.12</v>
      </c>
      <c r="P3" s="21">
        <v>0.12</v>
      </c>
      <c r="Q3" s="25" t="s">
        <v>58</v>
      </c>
    </row>
    <row r="4" spans="1:17" x14ac:dyDescent="0.25">
      <c r="A4" s="3" t="s">
        <v>47</v>
      </c>
      <c r="B4" s="17">
        <v>4</v>
      </c>
      <c r="E4" s="3" t="s">
        <v>0</v>
      </c>
      <c r="F4" s="3" t="s">
        <v>0</v>
      </c>
      <c r="G4" s="17">
        <v>2.5000000000000001E-2</v>
      </c>
      <c r="H4" s="17">
        <v>2.5000000000000001E-2</v>
      </c>
      <c r="I4" s="17">
        <v>2.5000000000000001E-2</v>
      </c>
      <c r="J4" s="24" t="s">
        <v>57</v>
      </c>
      <c r="L4" s="5" t="s">
        <v>0</v>
      </c>
      <c r="M4" s="5" t="s">
        <v>0</v>
      </c>
      <c r="N4" s="17">
        <v>2.5000000000000001E-2</v>
      </c>
      <c r="O4" s="17">
        <v>2.8000000000000001E-2</v>
      </c>
      <c r="P4" s="17">
        <v>2.5000000000000001E-2</v>
      </c>
      <c r="Q4" s="24" t="s">
        <v>57</v>
      </c>
    </row>
    <row r="5" spans="1:17" x14ac:dyDescent="0.25">
      <c r="E5" s="3" t="s">
        <v>0</v>
      </c>
      <c r="F5" s="3" t="s">
        <v>52</v>
      </c>
      <c r="G5" s="20">
        <v>8.0000000000000002E-3</v>
      </c>
      <c r="H5" s="20">
        <v>8.0000000000000002E-3</v>
      </c>
      <c r="I5" s="20">
        <v>8.0000000000000002E-3</v>
      </c>
      <c r="J5" s="25" t="s">
        <v>58</v>
      </c>
      <c r="L5" s="5" t="s">
        <v>0</v>
      </c>
      <c r="M5" s="5" t="s">
        <v>52</v>
      </c>
      <c r="N5" s="20">
        <v>8.0000000000000002E-3</v>
      </c>
      <c r="O5" s="20">
        <v>8.0000000000000002E-3</v>
      </c>
      <c r="P5" s="20">
        <v>8.0000000000000002E-3</v>
      </c>
      <c r="Q5" s="25" t="s">
        <v>58</v>
      </c>
    </row>
    <row r="6" spans="1:17" x14ac:dyDescent="0.25">
      <c r="A6" s="2" t="s">
        <v>125</v>
      </c>
      <c r="B6" s="16" t="s">
        <v>22</v>
      </c>
      <c r="E6" s="3" t="s">
        <v>62</v>
      </c>
      <c r="F6" s="3" t="s">
        <v>31</v>
      </c>
      <c r="G6" s="20">
        <v>0.06</v>
      </c>
      <c r="H6" s="20">
        <v>6.5000000000000002E-2</v>
      </c>
      <c r="I6" s="20">
        <v>0.06</v>
      </c>
      <c r="J6" s="24" t="s">
        <v>57</v>
      </c>
      <c r="L6" s="5" t="s">
        <v>199</v>
      </c>
      <c r="M6" s="5" t="s">
        <v>203</v>
      </c>
      <c r="N6" s="21">
        <v>7.0000000000000007E-2</v>
      </c>
      <c r="O6" s="21">
        <v>0.77</v>
      </c>
      <c r="P6" s="21">
        <v>7.0000000000000007E-2</v>
      </c>
      <c r="Q6" s="24" t="s">
        <v>57</v>
      </c>
    </row>
    <row r="7" spans="1:17" x14ac:dyDescent="0.25">
      <c r="A7" s="22" t="s">
        <v>121</v>
      </c>
      <c r="B7" s="18">
        <v>75000</v>
      </c>
      <c r="E7" s="3" t="s">
        <v>62</v>
      </c>
      <c r="F7" s="3" t="s">
        <v>32</v>
      </c>
      <c r="G7" s="20">
        <v>0.12</v>
      </c>
      <c r="H7" s="20">
        <v>0.13</v>
      </c>
      <c r="I7" s="20">
        <v>0.12</v>
      </c>
      <c r="J7" s="24" t="s">
        <v>57</v>
      </c>
      <c r="L7" s="5" t="s">
        <v>199</v>
      </c>
      <c r="M7" s="5" t="s">
        <v>204</v>
      </c>
      <c r="N7" s="21">
        <v>0.14000000000000001</v>
      </c>
      <c r="O7" s="21">
        <v>0.154</v>
      </c>
      <c r="P7" s="21">
        <v>0.14000000000000001</v>
      </c>
      <c r="Q7" s="24" t="s">
        <v>57</v>
      </c>
    </row>
    <row r="8" spans="1:17" x14ac:dyDescent="0.25">
      <c r="E8" s="3" t="s">
        <v>62</v>
      </c>
      <c r="F8" s="3" t="s">
        <v>33</v>
      </c>
      <c r="G8" s="20">
        <v>0.24</v>
      </c>
      <c r="H8" s="20">
        <v>0.26</v>
      </c>
      <c r="I8" s="20">
        <v>0.24</v>
      </c>
      <c r="J8" s="24" t="s">
        <v>57</v>
      </c>
      <c r="L8" s="5" t="s">
        <v>199</v>
      </c>
      <c r="M8" s="5" t="s">
        <v>205</v>
      </c>
      <c r="N8" s="21">
        <v>0.28000000000000003</v>
      </c>
      <c r="O8" s="21">
        <v>0.308</v>
      </c>
      <c r="P8" s="21">
        <v>0.28000000000000003</v>
      </c>
      <c r="Q8" s="24" t="s">
        <v>57</v>
      </c>
    </row>
    <row r="9" spans="1:17" x14ac:dyDescent="0.25">
      <c r="A9" s="2" t="s">
        <v>122</v>
      </c>
      <c r="B9" s="16" t="s">
        <v>22</v>
      </c>
      <c r="E9" s="3" t="s">
        <v>62</v>
      </c>
      <c r="F9" s="3" t="s">
        <v>34</v>
      </c>
      <c r="G9" s="20">
        <v>0.48</v>
      </c>
      <c r="H9" s="20">
        <v>0.52</v>
      </c>
      <c r="I9" s="20">
        <v>0.48</v>
      </c>
      <c r="J9" s="24" t="s">
        <v>57</v>
      </c>
      <c r="L9" s="5" t="s">
        <v>199</v>
      </c>
      <c r="M9" s="5" t="s">
        <v>206</v>
      </c>
      <c r="N9" s="21">
        <v>0.56000000000000005</v>
      </c>
      <c r="O9" s="21">
        <v>0.61599999999999999</v>
      </c>
      <c r="P9" s="21">
        <v>0.56000000000000005</v>
      </c>
      <c r="Q9" s="24" t="s">
        <v>57</v>
      </c>
    </row>
    <row r="10" spans="1:17" x14ac:dyDescent="0.25">
      <c r="A10" s="22">
        <v>0</v>
      </c>
      <c r="B10" s="19">
        <v>0.1</v>
      </c>
      <c r="E10" s="3" t="s">
        <v>62</v>
      </c>
      <c r="F10" s="3" t="s">
        <v>35</v>
      </c>
      <c r="G10" s="20">
        <v>0.5</v>
      </c>
      <c r="H10" s="20">
        <v>0.55000000000000004</v>
      </c>
      <c r="I10" s="20">
        <v>0.5</v>
      </c>
      <c r="J10" s="24" t="s">
        <v>57</v>
      </c>
      <c r="L10" s="5" t="s">
        <v>200</v>
      </c>
      <c r="M10" s="5" t="s">
        <v>207</v>
      </c>
      <c r="N10" s="21">
        <v>0.105</v>
      </c>
      <c r="O10" s="21">
        <v>0.12</v>
      </c>
      <c r="P10" s="21">
        <v>0.105</v>
      </c>
      <c r="Q10" s="24" t="s">
        <v>57</v>
      </c>
    </row>
    <row r="11" spans="1:17" x14ac:dyDescent="0.25">
      <c r="A11" s="22">
        <v>150000</v>
      </c>
      <c r="B11" s="19">
        <v>7.0000000000000007E-2</v>
      </c>
      <c r="E11" s="3" t="s">
        <v>62</v>
      </c>
      <c r="F11" s="3" t="s">
        <v>36</v>
      </c>
      <c r="G11" s="20">
        <v>1</v>
      </c>
      <c r="H11" s="20">
        <v>1.1000000000000001</v>
      </c>
      <c r="I11" s="20">
        <v>1</v>
      </c>
      <c r="J11" s="24" t="s">
        <v>57</v>
      </c>
      <c r="L11" s="5" t="s">
        <v>200</v>
      </c>
      <c r="M11" s="5" t="s">
        <v>208</v>
      </c>
      <c r="N11" s="21">
        <v>0.21</v>
      </c>
      <c r="O11" s="21">
        <v>0.23899999999999999</v>
      </c>
      <c r="P11" s="21">
        <v>0.21</v>
      </c>
      <c r="Q11" s="24" t="s">
        <v>57</v>
      </c>
    </row>
    <row r="12" spans="1:17" x14ac:dyDescent="0.25">
      <c r="A12" s="22">
        <v>500000</v>
      </c>
      <c r="B12" s="19">
        <v>0.05</v>
      </c>
      <c r="E12" s="3" t="s">
        <v>62</v>
      </c>
      <c r="F12" s="3" t="s">
        <v>37</v>
      </c>
      <c r="G12" s="20">
        <v>0.41</v>
      </c>
      <c r="H12" s="20">
        <v>0.46</v>
      </c>
      <c r="I12" s="20">
        <v>0.41</v>
      </c>
      <c r="J12" s="24" t="s">
        <v>57</v>
      </c>
      <c r="L12" s="5" t="s">
        <v>200</v>
      </c>
      <c r="M12" s="5" t="s">
        <v>209</v>
      </c>
      <c r="N12" s="21">
        <v>0.42</v>
      </c>
      <c r="O12" s="21">
        <v>0.47799999999999998</v>
      </c>
      <c r="P12" s="21">
        <v>0.42</v>
      </c>
      <c r="Q12" s="24" t="s">
        <v>57</v>
      </c>
    </row>
    <row r="13" spans="1:17" x14ac:dyDescent="0.25">
      <c r="A13" s="22">
        <v>1000000</v>
      </c>
      <c r="B13" s="19">
        <v>0.03</v>
      </c>
      <c r="E13" s="3" t="s">
        <v>62</v>
      </c>
      <c r="F13" s="3" t="s">
        <v>38</v>
      </c>
      <c r="G13" s="20">
        <v>0.82</v>
      </c>
      <c r="H13" s="20">
        <v>0.92</v>
      </c>
      <c r="I13" s="20">
        <v>0.82</v>
      </c>
      <c r="J13" s="24" t="s">
        <v>57</v>
      </c>
      <c r="L13" s="5" t="s">
        <v>200</v>
      </c>
      <c r="M13" s="5" t="s">
        <v>210</v>
      </c>
      <c r="N13" s="21">
        <v>0.84</v>
      </c>
      <c r="O13" s="21">
        <v>0.95599999999999996</v>
      </c>
      <c r="P13" s="21">
        <v>0.84</v>
      </c>
      <c r="Q13" s="24" t="s">
        <v>57</v>
      </c>
    </row>
    <row r="14" spans="1:17" x14ac:dyDescent="0.25">
      <c r="E14" s="3" t="s">
        <v>62</v>
      </c>
      <c r="F14" s="3" t="s">
        <v>39</v>
      </c>
      <c r="G14" s="20">
        <v>1.64</v>
      </c>
      <c r="H14" s="20">
        <v>1.84</v>
      </c>
      <c r="I14" s="20">
        <v>1.64</v>
      </c>
      <c r="J14" s="24" t="s">
        <v>57</v>
      </c>
      <c r="L14" s="5" t="s">
        <v>200</v>
      </c>
      <c r="M14" s="5" t="s">
        <v>211</v>
      </c>
      <c r="N14" s="21">
        <v>1.68</v>
      </c>
      <c r="O14" s="21">
        <v>1.9119999999999999</v>
      </c>
      <c r="P14" s="21">
        <v>1.68</v>
      </c>
      <c r="Q14" s="24" t="s">
        <v>57</v>
      </c>
    </row>
    <row r="15" spans="1:17" x14ac:dyDescent="0.25">
      <c r="A15" s="2" t="s">
        <v>25</v>
      </c>
      <c r="B15" s="16" t="s">
        <v>30</v>
      </c>
      <c r="C15" s="16" t="s">
        <v>26</v>
      </c>
      <c r="E15" s="3" t="s">
        <v>62</v>
      </c>
      <c r="F15" s="3" t="s">
        <v>40</v>
      </c>
      <c r="G15" s="20">
        <v>0.14499999999999999</v>
      </c>
      <c r="H15" s="20">
        <v>0.16500000000000001</v>
      </c>
      <c r="I15" s="20">
        <v>0.14499999999999999</v>
      </c>
      <c r="J15" s="24" t="s">
        <v>57</v>
      </c>
      <c r="L15" s="5" t="s">
        <v>201</v>
      </c>
      <c r="M15" s="5" t="s">
        <v>212</v>
      </c>
      <c r="N15" s="21">
        <v>0.17499999999999999</v>
      </c>
      <c r="O15" s="21">
        <v>0.19500000000000001</v>
      </c>
      <c r="P15" s="21">
        <v>0.17499999999999999</v>
      </c>
      <c r="Q15" s="24" t="s">
        <v>57</v>
      </c>
    </row>
    <row r="16" spans="1:17" x14ac:dyDescent="0.25">
      <c r="A16" s="3" t="s">
        <v>27</v>
      </c>
      <c r="B16" s="20">
        <v>0.1</v>
      </c>
      <c r="C16" s="20">
        <v>0.1</v>
      </c>
      <c r="E16" s="3" t="s">
        <v>62</v>
      </c>
      <c r="F16" s="3" t="s">
        <v>41</v>
      </c>
      <c r="G16" s="20">
        <v>0.57999999999999996</v>
      </c>
      <c r="H16" s="20">
        <v>0.66</v>
      </c>
      <c r="I16" s="20">
        <v>0.57999999999999996</v>
      </c>
      <c r="J16" s="24" t="s">
        <v>57</v>
      </c>
      <c r="L16" s="5" t="s">
        <v>201</v>
      </c>
      <c r="M16" s="5" t="s">
        <v>213</v>
      </c>
      <c r="N16" s="21">
        <v>0.35</v>
      </c>
      <c r="O16" s="21">
        <v>0.39</v>
      </c>
      <c r="P16" s="21">
        <v>0.35</v>
      </c>
      <c r="Q16" s="24" t="s">
        <v>57</v>
      </c>
    </row>
    <row r="17" spans="1:17" x14ac:dyDescent="0.25">
      <c r="A17" s="4" t="s">
        <v>28</v>
      </c>
      <c r="B17" s="20">
        <v>0.125</v>
      </c>
      <c r="C17" s="20">
        <v>0.1</v>
      </c>
      <c r="E17" s="3" t="s">
        <v>62</v>
      </c>
      <c r="F17" s="3" t="s">
        <v>42</v>
      </c>
      <c r="G17" s="20">
        <v>1.3</v>
      </c>
      <c r="H17" s="20" t="s">
        <v>18</v>
      </c>
      <c r="I17" s="20" t="s">
        <v>18</v>
      </c>
      <c r="J17" s="24" t="s">
        <v>57</v>
      </c>
      <c r="L17" s="5" t="s">
        <v>201</v>
      </c>
      <c r="M17" s="5" t="s">
        <v>214</v>
      </c>
      <c r="N17" s="21">
        <v>0.7</v>
      </c>
      <c r="O17" s="21">
        <v>0.78</v>
      </c>
      <c r="P17" s="21">
        <v>0.7</v>
      </c>
      <c r="Q17" s="24" t="s">
        <v>57</v>
      </c>
    </row>
    <row r="18" spans="1:17" x14ac:dyDescent="0.25">
      <c r="A18" s="3" t="s">
        <v>29</v>
      </c>
      <c r="B18" s="17">
        <v>9.5000000000000001E-2</v>
      </c>
      <c r="C18" s="17"/>
      <c r="E18" s="3" t="s">
        <v>62</v>
      </c>
      <c r="F18" s="3" t="s">
        <v>43</v>
      </c>
      <c r="G18" s="20">
        <v>2.4</v>
      </c>
      <c r="H18" s="20" t="s">
        <v>18</v>
      </c>
      <c r="I18" s="20">
        <v>2.4</v>
      </c>
      <c r="J18" s="24" t="s">
        <v>57</v>
      </c>
      <c r="L18" s="5" t="s">
        <v>201</v>
      </c>
      <c r="M18" s="5" t="s">
        <v>215</v>
      </c>
      <c r="N18" s="21">
        <v>1.4</v>
      </c>
      <c r="O18" s="21">
        <v>1.56</v>
      </c>
      <c r="P18" s="21">
        <v>1.4</v>
      </c>
      <c r="Q18" s="24" t="s">
        <v>57</v>
      </c>
    </row>
    <row r="19" spans="1:17" x14ac:dyDescent="0.25">
      <c r="E19" s="3" t="s">
        <v>62</v>
      </c>
      <c r="F19" s="3" t="s">
        <v>44</v>
      </c>
      <c r="G19" s="20">
        <v>3.5</v>
      </c>
      <c r="H19" s="20" t="s">
        <v>18</v>
      </c>
      <c r="I19" s="20">
        <v>3.5</v>
      </c>
      <c r="J19" s="24" t="s">
        <v>57</v>
      </c>
      <c r="L19" s="5" t="s">
        <v>201</v>
      </c>
      <c r="M19" s="5" t="s">
        <v>216</v>
      </c>
      <c r="N19" s="21">
        <v>2.8</v>
      </c>
      <c r="O19" s="21">
        <v>3.12</v>
      </c>
      <c r="P19" s="21">
        <v>2.8</v>
      </c>
      <c r="Q19" s="24" t="s">
        <v>57</v>
      </c>
    </row>
    <row r="20" spans="1:17" x14ac:dyDescent="0.25">
      <c r="A20" s="2" t="s">
        <v>59</v>
      </c>
      <c r="B20" s="16" t="s">
        <v>22</v>
      </c>
      <c r="E20" s="3" t="s">
        <v>62</v>
      </c>
      <c r="F20" s="3" t="s">
        <v>45</v>
      </c>
      <c r="G20" s="20">
        <v>3.1</v>
      </c>
      <c r="H20" s="20" t="s">
        <v>18</v>
      </c>
      <c r="I20" s="20">
        <v>3.1</v>
      </c>
      <c r="J20" s="24" t="s">
        <v>57</v>
      </c>
      <c r="L20" s="5" t="s">
        <v>202</v>
      </c>
      <c r="M20" s="5" t="s">
        <v>217</v>
      </c>
      <c r="N20" s="21">
        <v>0.85299999999999998</v>
      </c>
      <c r="O20" s="21">
        <v>0.93799999999999994</v>
      </c>
      <c r="P20" s="21">
        <v>0.85299999999999998</v>
      </c>
      <c r="Q20" s="24" t="s">
        <v>57</v>
      </c>
    </row>
    <row r="21" spans="1:17" x14ac:dyDescent="0.25">
      <c r="A21" s="22" t="s">
        <v>118</v>
      </c>
      <c r="B21" s="36">
        <v>30.5</v>
      </c>
      <c r="E21" s="3" t="s">
        <v>62</v>
      </c>
      <c r="F21" s="3" t="s">
        <v>46</v>
      </c>
      <c r="G21" s="20">
        <v>4.5999999999999996</v>
      </c>
      <c r="H21" s="20" t="s">
        <v>18</v>
      </c>
      <c r="I21" s="20">
        <v>4.5999999999999996</v>
      </c>
      <c r="J21" s="24" t="s">
        <v>57</v>
      </c>
      <c r="L21" s="5" t="s">
        <v>202</v>
      </c>
      <c r="M21" s="5" t="s">
        <v>218</v>
      </c>
      <c r="N21" s="21">
        <v>1.7050000000000001</v>
      </c>
      <c r="O21" s="21">
        <v>1.8759999999999999</v>
      </c>
      <c r="P21" s="21">
        <v>1.7050000000000001</v>
      </c>
      <c r="Q21" s="24" t="s">
        <v>57</v>
      </c>
    </row>
    <row r="22" spans="1:17" x14ac:dyDescent="0.25">
      <c r="A22" s="22" t="s">
        <v>59</v>
      </c>
      <c r="B22" s="18">
        <f>ROUND(60*60*24*30.5,0)</f>
        <v>2635200</v>
      </c>
      <c r="E22"/>
      <c r="F22"/>
      <c r="L22" s="5" t="s">
        <v>202</v>
      </c>
      <c r="M22" s="5" t="s">
        <v>219</v>
      </c>
      <c r="N22" s="21">
        <v>3.41</v>
      </c>
      <c r="O22" s="21">
        <v>3.7509999999999999</v>
      </c>
      <c r="P22" s="21">
        <v>3.41</v>
      </c>
      <c r="Q22" s="24" t="s">
        <v>57</v>
      </c>
    </row>
    <row r="23" spans="1:17" x14ac:dyDescent="0.25">
      <c r="E23" s="5" t="s">
        <v>63</v>
      </c>
      <c r="F23" s="5" t="s">
        <v>79</v>
      </c>
      <c r="G23" s="21">
        <v>0.1</v>
      </c>
      <c r="H23" s="21">
        <v>0.1</v>
      </c>
      <c r="I23" s="21">
        <v>0.1</v>
      </c>
      <c r="J23" s="23" t="s">
        <v>53</v>
      </c>
      <c r="L23" s="5" t="s">
        <v>202</v>
      </c>
      <c r="M23" s="5" t="s">
        <v>220</v>
      </c>
      <c r="N23" s="21">
        <v>6.82</v>
      </c>
      <c r="O23" s="21">
        <v>7.5019999999999998</v>
      </c>
      <c r="P23" s="21">
        <v>6.82</v>
      </c>
      <c r="Q23" s="24" t="s">
        <v>57</v>
      </c>
    </row>
    <row r="24" spans="1:17" x14ac:dyDescent="0.25">
      <c r="A24" s="2" t="s">
        <v>152</v>
      </c>
      <c r="B24" s="16" t="s">
        <v>153</v>
      </c>
      <c r="E24" s="5" t="s">
        <v>63</v>
      </c>
      <c r="F24" s="5" t="s">
        <v>80</v>
      </c>
      <c r="G24" s="21">
        <v>0.1</v>
      </c>
      <c r="H24" s="21">
        <v>0.1</v>
      </c>
      <c r="I24" s="21">
        <v>0.1</v>
      </c>
      <c r="J24" s="23" t="s">
        <v>113</v>
      </c>
      <c r="L24"/>
      <c r="M24"/>
    </row>
    <row r="25" spans="1:17" x14ac:dyDescent="0.25">
      <c r="A25" s="22" t="s">
        <v>152</v>
      </c>
      <c r="B25" s="18">
        <v>20000</v>
      </c>
      <c r="E25" s="5" t="s">
        <v>63</v>
      </c>
      <c r="F25" s="5" t="s">
        <v>105</v>
      </c>
      <c r="G25" s="21">
        <v>9.5000000000000001E-2</v>
      </c>
      <c r="H25" s="21">
        <v>9.5000000000000001E-2</v>
      </c>
      <c r="I25" s="21">
        <v>9.5000000000000001E-2</v>
      </c>
      <c r="J25" s="23" t="s">
        <v>53</v>
      </c>
      <c r="L25" s="5" t="s">
        <v>63</v>
      </c>
      <c r="M25" s="5" t="s">
        <v>79</v>
      </c>
      <c r="N25" s="21">
        <v>0.05</v>
      </c>
      <c r="O25" s="21">
        <v>0.08</v>
      </c>
      <c r="P25" s="21">
        <v>0.05</v>
      </c>
      <c r="Q25" s="23" t="s">
        <v>53</v>
      </c>
    </row>
    <row r="26" spans="1:17" x14ac:dyDescent="0.25">
      <c r="E26" s="5" t="s">
        <v>63</v>
      </c>
      <c r="F26" s="5" t="s">
        <v>81</v>
      </c>
      <c r="G26" s="21">
        <v>0.125</v>
      </c>
      <c r="H26" s="21">
        <v>0.125</v>
      </c>
      <c r="I26" s="21">
        <v>0.125</v>
      </c>
      <c r="J26" s="23" t="s">
        <v>53</v>
      </c>
      <c r="L26" s="5" t="s">
        <v>63</v>
      </c>
      <c r="M26" s="5" t="s">
        <v>80</v>
      </c>
      <c r="N26" s="21">
        <v>0.05</v>
      </c>
      <c r="O26" s="21">
        <v>0.08</v>
      </c>
      <c r="P26" s="21">
        <v>0.05</v>
      </c>
      <c r="Q26" s="23" t="s">
        <v>113</v>
      </c>
    </row>
    <row r="27" spans="1:17" x14ac:dyDescent="0.25">
      <c r="A27" s="2" t="s">
        <v>157</v>
      </c>
      <c r="B27" s="16" t="s">
        <v>153</v>
      </c>
      <c r="E27" s="5" t="s">
        <v>63</v>
      </c>
      <c r="F27" s="5" t="s">
        <v>82</v>
      </c>
      <c r="G27" s="21">
        <v>0.1</v>
      </c>
      <c r="H27" s="21">
        <v>0.1</v>
      </c>
      <c r="I27" s="21">
        <v>0.1</v>
      </c>
      <c r="J27" s="23" t="s">
        <v>55</v>
      </c>
      <c r="L27" s="5" t="s">
        <v>63</v>
      </c>
      <c r="M27" s="5" t="s">
        <v>105</v>
      </c>
      <c r="N27" s="21">
        <v>9.5000000000000001E-2</v>
      </c>
      <c r="O27" s="21">
        <v>0.105</v>
      </c>
      <c r="P27" s="21">
        <v>9.5000000000000001E-2</v>
      </c>
      <c r="Q27" s="23" t="s">
        <v>53</v>
      </c>
    </row>
    <row r="28" spans="1:17" x14ac:dyDescent="0.25">
      <c r="A28" s="5" t="s">
        <v>157</v>
      </c>
      <c r="B28" s="18">
        <v>500</v>
      </c>
      <c r="E28" s="5" t="s">
        <v>63</v>
      </c>
      <c r="F28" s="5" t="s">
        <v>106</v>
      </c>
      <c r="G28" s="21">
        <v>9.5000000000000001E-2</v>
      </c>
      <c r="H28" s="21">
        <v>9.5000000000000001E-2</v>
      </c>
      <c r="I28" s="21">
        <v>9.5000000000000001E-2</v>
      </c>
      <c r="J28" s="23" t="s">
        <v>53</v>
      </c>
      <c r="L28" s="5" t="s">
        <v>63</v>
      </c>
      <c r="M28" s="5" t="s">
        <v>81</v>
      </c>
      <c r="N28" s="21">
        <v>0.125</v>
      </c>
      <c r="O28" s="21">
        <v>0.13800000000000001</v>
      </c>
      <c r="P28" s="21">
        <v>0.125</v>
      </c>
      <c r="Q28" s="23" t="s">
        <v>53</v>
      </c>
    </row>
    <row r="29" spans="1:17" x14ac:dyDescent="0.25">
      <c r="E29"/>
      <c r="F29"/>
      <c r="L29" s="5" t="s">
        <v>63</v>
      </c>
      <c r="M29" s="5" t="s">
        <v>82</v>
      </c>
      <c r="N29" s="21">
        <v>0.1</v>
      </c>
      <c r="O29" s="21">
        <v>0.11</v>
      </c>
      <c r="P29" s="21">
        <v>0.1</v>
      </c>
      <c r="Q29" s="23" t="s">
        <v>55</v>
      </c>
    </row>
    <row r="30" spans="1:17" x14ac:dyDescent="0.25">
      <c r="A30" s="2" t="s">
        <v>165</v>
      </c>
      <c r="B30" s="16" t="s">
        <v>153</v>
      </c>
      <c r="E30" s="5" t="s">
        <v>93</v>
      </c>
      <c r="F30" s="5" t="s">
        <v>93</v>
      </c>
      <c r="G30" s="21">
        <v>0</v>
      </c>
      <c r="H30" s="21">
        <v>0</v>
      </c>
      <c r="I30" s="21">
        <v>0</v>
      </c>
      <c r="J30" s="24" t="s">
        <v>57</v>
      </c>
      <c r="L30" s="5" t="s">
        <v>63</v>
      </c>
      <c r="M30" s="5" t="s">
        <v>106</v>
      </c>
      <c r="N30" s="21">
        <v>9.5000000000000001E-2</v>
      </c>
      <c r="O30" s="21">
        <v>0.105</v>
      </c>
      <c r="P30" s="21">
        <v>9.5000000000000001E-2</v>
      </c>
      <c r="Q30" s="23" t="s">
        <v>53</v>
      </c>
    </row>
    <row r="31" spans="1:17" x14ac:dyDescent="0.25">
      <c r="A31" s="5" t="s">
        <v>165</v>
      </c>
      <c r="B31" s="18">
        <v>100</v>
      </c>
      <c r="E31" s="5" t="s">
        <v>64</v>
      </c>
      <c r="F31" s="5" t="s">
        <v>65</v>
      </c>
      <c r="G31" s="21">
        <v>0.08</v>
      </c>
      <c r="H31" s="21">
        <v>8.5000000000000006E-2</v>
      </c>
      <c r="I31" s="21">
        <v>0.08</v>
      </c>
      <c r="J31" s="24" t="s">
        <v>57</v>
      </c>
      <c r="L31"/>
      <c r="M31"/>
    </row>
    <row r="32" spans="1:17" x14ac:dyDescent="0.25">
      <c r="E32" s="5" t="s">
        <v>64</v>
      </c>
      <c r="F32" s="5" t="s">
        <v>66</v>
      </c>
      <c r="G32" s="21">
        <v>0.16</v>
      </c>
      <c r="H32" s="21">
        <v>0.17</v>
      </c>
      <c r="I32" s="21">
        <v>0.16</v>
      </c>
      <c r="J32" s="24" t="s">
        <v>57</v>
      </c>
      <c r="L32" s="5" t="s">
        <v>93</v>
      </c>
      <c r="M32" s="5" t="s">
        <v>93</v>
      </c>
      <c r="N32" s="21">
        <v>0</v>
      </c>
      <c r="O32" s="21">
        <v>0</v>
      </c>
      <c r="P32" s="21">
        <v>0</v>
      </c>
      <c r="Q32" s="24" t="s">
        <v>57</v>
      </c>
    </row>
    <row r="33" spans="1:17" x14ac:dyDescent="0.25">
      <c r="A33" s="2" t="s">
        <v>166</v>
      </c>
      <c r="B33" s="16" t="s">
        <v>153</v>
      </c>
      <c r="E33" s="5" t="s">
        <v>64</v>
      </c>
      <c r="F33" s="5" t="s">
        <v>67</v>
      </c>
      <c r="G33" s="21">
        <v>0.32</v>
      </c>
      <c r="H33" s="21">
        <v>0.34</v>
      </c>
      <c r="I33" s="21">
        <v>0.32</v>
      </c>
      <c r="J33" s="24" t="s">
        <v>57</v>
      </c>
      <c r="L33" s="5" t="s">
        <v>64</v>
      </c>
      <c r="M33" s="5" t="s">
        <v>221</v>
      </c>
      <c r="N33" s="21">
        <v>0.09</v>
      </c>
      <c r="O33" s="21">
        <v>9.5000000000000001E-2</v>
      </c>
      <c r="P33" s="21">
        <v>0.09</v>
      </c>
      <c r="Q33" s="24" t="s">
        <v>57</v>
      </c>
    </row>
    <row r="34" spans="1:17" x14ac:dyDescent="0.25">
      <c r="A34" s="5" t="s">
        <v>166</v>
      </c>
      <c r="B34" s="18">
        <v>100</v>
      </c>
      <c r="E34" s="5" t="s">
        <v>64</v>
      </c>
      <c r="F34" s="5" t="s">
        <v>68</v>
      </c>
      <c r="G34" s="21">
        <v>0.64</v>
      </c>
      <c r="H34" s="21">
        <v>0.68</v>
      </c>
      <c r="I34" s="21">
        <v>0.64</v>
      </c>
      <c r="J34" s="24" t="s">
        <v>57</v>
      </c>
      <c r="L34" s="5" t="s">
        <v>64</v>
      </c>
      <c r="M34" s="5" t="s">
        <v>222</v>
      </c>
      <c r="N34" s="21">
        <v>0.185</v>
      </c>
      <c r="O34" s="21">
        <v>0.2</v>
      </c>
      <c r="P34" s="21">
        <v>0.185</v>
      </c>
      <c r="Q34" s="24" t="s">
        <v>57</v>
      </c>
    </row>
    <row r="35" spans="1:17" x14ac:dyDescent="0.25">
      <c r="E35" s="5" t="s">
        <v>64</v>
      </c>
      <c r="F35" s="5" t="s">
        <v>69</v>
      </c>
      <c r="G35" s="21">
        <v>0.55500000000000005</v>
      </c>
      <c r="H35" s="21">
        <v>0.60499999999999998</v>
      </c>
      <c r="I35" s="21">
        <v>0.55500000000000005</v>
      </c>
      <c r="J35" s="24" t="s">
        <v>57</v>
      </c>
      <c r="L35" s="5" t="s">
        <v>64</v>
      </c>
      <c r="M35" s="5" t="s">
        <v>223</v>
      </c>
      <c r="N35" s="21">
        <v>0.37</v>
      </c>
      <c r="O35" s="21">
        <v>0.4</v>
      </c>
      <c r="P35" s="21">
        <v>0.37</v>
      </c>
      <c r="Q35" s="24" t="s">
        <v>57</v>
      </c>
    </row>
    <row r="36" spans="1:17" x14ac:dyDescent="0.25">
      <c r="A36" s="2" t="s">
        <v>178</v>
      </c>
      <c r="B36" s="16" t="s">
        <v>153</v>
      </c>
      <c r="E36" s="5" t="s">
        <v>64</v>
      </c>
      <c r="F36" s="5" t="s">
        <v>70</v>
      </c>
      <c r="G36" s="21">
        <v>1.1100000000000001</v>
      </c>
      <c r="H36" s="21">
        <v>1.21</v>
      </c>
      <c r="I36" s="21">
        <v>1.1100000000000001</v>
      </c>
      <c r="J36" s="24" t="s">
        <v>57</v>
      </c>
      <c r="L36" s="5" t="s">
        <v>64</v>
      </c>
      <c r="M36" s="5" t="s">
        <v>224</v>
      </c>
      <c r="N36" s="21">
        <v>0.74</v>
      </c>
      <c r="O36" s="21">
        <v>0.79500000000000004</v>
      </c>
      <c r="P36" s="21">
        <v>0.74</v>
      </c>
      <c r="Q36" s="24" t="s">
        <v>57</v>
      </c>
    </row>
    <row r="37" spans="1:17" x14ac:dyDescent="0.25">
      <c r="A37" s="5" t="s">
        <v>178</v>
      </c>
      <c r="B37" s="18">
        <v>50</v>
      </c>
      <c r="E37" s="5" t="s">
        <v>64</v>
      </c>
      <c r="F37" s="5" t="s">
        <v>71</v>
      </c>
      <c r="G37" s="21">
        <v>2.2149999999999999</v>
      </c>
      <c r="H37" s="21">
        <v>2.415</v>
      </c>
      <c r="I37" s="21">
        <v>2.2149999999999999</v>
      </c>
      <c r="J37" s="24" t="s">
        <v>57</v>
      </c>
      <c r="L37" s="5" t="s">
        <v>64</v>
      </c>
      <c r="M37" s="5" t="s">
        <v>225</v>
      </c>
      <c r="N37" s="21">
        <v>0.33</v>
      </c>
      <c r="O37" s="21">
        <v>0.36</v>
      </c>
      <c r="P37" s="21">
        <v>0.33</v>
      </c>
      <c r="Q37" s="24" t="s">
        <v>57</v>
      </c>
    </row>
    <row r="38" spans="1:17" x14ac:dyDescent="0.25">
      <c r="E38" s="5" t="s">
        <v>64</v>
      </c>
      <c r="F38" s="5" t="s">
        <v>196</v>
      </c>
      <c r="G38" s="21">
        <v>4.7249999999999996</v>
      </c>
      <c r="H38" s="21">
        <v>4.7249999999999996</v>
      </c>
      <c r="I38" s="21" t="s">
        <v>198</v>
      </c>
      <c r="J38" s="24" t="s">
        <v>57</v>
      </c>
      <c r="L38" s="5" t="s">
        <v>64</v>
      </c>
      <c r="M38" s="5" t="s">
        <v>226</v>
      </c>
      <c r="N38" s="21">
        <v>0.66</v>
      </c>
      <c r="O38" s="21">
        <v>0.72</v>
      </c>
      <c r="P38" s="21">
        <v>0.66</v>
      </c>
      <c r="Q38" s="24" t="s">
        <v>57</v>
      </c>
    </row>
    <row r="39" spans="1:17" x14ac:dyDescent="0.25">
      <c r="A39" s="2" t="s">
        <v>181</v>
      </c>
      <c r="B39" s="16"/>
      <c r="E39" s="5" t="s">
        <v>64</v>
      </c>
      <c r="F39" s="5" t="s">
        <v>72</v>
      </c>
      <c r="G39" s="21">
        <v>0.13500000000000001</v>
      </c>
      <c r="H39" s="21">
        <v>0.14499999999999999</v>
      </c>
      <c r="I39" s="21">
        <v>0.13500000000000001</v>
      </c>
      <c r="J39" s="24" t="s">
        <v>57</v>
      </c>
      <c r="L39" s="5" t="s">
        <v>64</v>
      </c>
      <c r="M39" s="5" t="s">
        <v>227</v>
      </c>
      <c r="N39" s="21">
        <v>1.32</v>
      </c>
      <c r="O39" s="21">
        <v>1.44</v>
      </c>
      <c r="P39" s="21">
        <v>1.32</v>
      </c>
      <c r="Q39" s="24" t="s">
        <v>57</v>
      </c>
    </row>
    <row r="40" spans="1:17" x14ac:dyDescent="0.25">
      <c r="A40" s="5"/>
      <c r="B40" s="18" t="s">
        <v>182</v>
      </c>
      <c r="E40" s="5" t="s">
        <v>64</v>
      </c>
      <c r="F40" s="5" t="s">
        <v>73</v>
      </c>
      <c r="G40" s="21">
        <v>0.27500000000000002</v>
      </c>
      <c r="H40" s="21">
        <v>0.28999999999999998</v>
      </c>
      <c r="I40" s="21">
        <v>0.27500000000000002</v>
      </c>
      <c r="J40" s="24" t="s">
        <v>57</v>
      </c>
      <c r="L40" s="5" t="s">
        <v>64</v>
      </c>
      <c r="M40" s="5" t="s">
        <v>228</v>
      </c>
      <c r="N40" s="21">
        <v>4.7249999999999996</v>
      </c>
      <c r="O40" s="21" t="s">
        <v>18</v>
      </c>
      <c r="P40" s="21">
        <v>4.7249999999999996</v>
      </c>
      <c r="Q40" s="24" t="s">
        <v>57</v>
      </c>
    </row>
    <row r="41" spans="1:17" x14ac:dyDescent="0.25">
      <c r="A41" s="5"/>
      <c r="B41" s="18" t="s">
        <v>183</v>
      </c>
      <c r="E41" s="5" t="s">
        <v>64</v>
      </c>
      <c r="F41" s="5" t="s">
        <v>74</v>
      </c>
      <c r="G41" s="21">
        <v>0.54500000000000004</v>
      </c>
      <c r="H41" s="21">
        <v>0.57999999999999996</v>
      </c>
      <c r="I41" s="21">
        <v>0.54500000000000004</v>
      </c>
      <c r="J41" s="24" t="s">
        <v>57</v>
      </c>
      <c r="L41" s="5" t="s">
        <v>64</v>
      </c>
      <c r="M41" s="5" t="s">
        <v>229</v>
      </c>
      <c r="N41" s="21">
        <v>0.18</v>
      </c>
      <c r="O41" s="21">
        <v>0.19</v>
      </c>
      <c r="P41" s="21">
        <v>0.18</v>
      </c>
      <c r="Q41" s="24" t="s">
        <v>57</v>
      </c>
    </row>
    <row r="42" spans="1:17" x14ac:dyDescent="0.25">
      <c r="E42" s="5" t="s">
        <v>64</v>
      </c>
      <c r="F42" s="5" t="s">
        <v>75</v>
      </c>
      <c r="G42" s="21">
        <v>1.0900000000000001</v>
      </c>
      <c r="H42" s="21">
        <v>1.1599999999999999</v>
      </c>
      <c r="I42" s="21">
        <v>1.0900000000000001</v>
      </c>
      <c r="J42" s="24" t="s">
        <v>57</v>
      </c>
      <c r="L42" s="5" t="s">
        <v>64</v>
      </c>
      <c r="M42" s="5" t="s">
        <v>245</v>
      </c>
      <c r="N42" s="21">
        <v>0.37</v>
      </c>
      <c r="O42" s="21">
        <v>0.4</v>
      </c>
      <c r="P42" s="21">
        <v>0.37</v>
      </c>
      <c r="Q42" s="24" t="s">
        <v>57</v>
      </c>
    </row>
    <row r="43" spans="1:17" x14ac:dyDescent="0.25">
      <c r="E43" s="5" t="s">
        <v>64</v>
      </c>
      <c r="F43" s="5" t="s">
        <v>76</v>
      </c>
      <c r="G43" s="21">
        <v>0.94499999999999995</v>
      </c>
      <c r="H43" s="21">
        <v>1.03</v>
      </c>
      <c r="I43" s="21">
        <v>0.94499999999999995</v>
      </c>
      <c r="J43" s="24" t="s">
        <v>57</v>
      </c>
      <c r="L43" s="5" t="s">
        <v>64</v>
      </c>
      <c r="M43" s="5" t="s">
        <v>231</v>
      </c>
      <c r="N43" s="21">
        <v>0.74</v>
      </c>
      <c r="O43" s="21">
        <v>0.8</v>
      </c>
      <c r="P43" s="21">
        <v>0.74</v>
      </c>
      <c r="Q43" s="24" t="s">
        <v>57</v>
      </c>
    </row>
    <row r="44" spans="1:17" x14ac:dyDescent="0.25">
      <c r="E44" s="5" t="s">
        <v>64</v>
      </c>
      <c r="F44" s="5" t="s">
        <v>77</v>
      </c>
      <c r="G44" s="21">
        <v>1.89</v>
      </c>
      <c r="H44" s="21">
        <v>2.06</v>
      </c>
      <c r="I44" s="21">
        <v>1.89</v>
      </c>
      <c r="J44" s="24" t="s">
        <v>57</v>
      </c>
      <c r="L44" s="5" t="s">
        <v>64</v>
      </c>
      <c r="M44" s="5" t="s">
        <v>232</v>
      </c>
      <c r="N44" s="21">
        <v>1.48</v>
      </c>
      <c r="O44" s="21">
        <v>1.59</v>
      </c>
      <c r="P44" s="21">
        <v>1.48</v>
      </c>
      <c r="Q44" s="24" t="s">
        <v>57</v>
      </c>
    </row>
    <row r="45" spans="1:17" x14ac:dyDescent="0.25">
      <c r="E45" s="5" t="s">
        <v>64</v>
      </c>
      <c r="F45" s="5" t="s">
        <v>78</v>
      </c>
      <c r="G45" s="21">
        <v>3.77</v>
      </c>
      <c r="H45" s="21">
        <v>4.1100000000000003</v>
      </c>
      <c r="I45" s="21">
        <v>3.77</v>
      </c>
      <c r="J45" s="24" t="s">
        <v>57</v>
      </c>
      <c r="L45" s="5" t="s">
        <v>64</v>
      </c>
      <c r="M45" s="5" t="s">
        <v>233</v>
      </c>
      <c r="N45" s="21">
        <v>0.66</v>
      </c>
      <c r="O45" s="21">
        <v>0.72</v>
      </c>
      <c r="P45" s="21">
        <v>0.66</v>
      </c>
      <c r="Q45" s="24" t="s">
        <v>57</v>
      </c>
    </row>
    <row r="46" spans="1:17" x14ac:dyDescent="0.25">
      <c r="E46" s="5" t="s">
        <v>64</v>
      </c>
      <c r="F46" s="5" t="s">
        <v>197</v>
      </c>
      <c r="G46" s="21">
        <v>8.0350000000000001</v>
      </c>
      <c r="H46" s="21">
        <v>8.0350000000000001</v>
      </c>
      <c r="I46" s="21" t="s">
        <v>198</v>
      </c>
      <c r="J46" s="24" t="s">
        <v>57</v>
      </c>
      <c r="L46" s="5" t="s">
        <v>64</v>
      </c>
      <c r="M46" s="5" t="s">
        <v>234</v>
      </c>
      <c r="N46" s="21">
        <v>1.32</v>
      </c>
      <c r="O46" s="21">
        <v>1.44</v>
      </c>
      <c r="P46" s="21">
        <v>1.32</v>
      </c>
      <c r="Q46" s="24" t="s">
        <v>57</v>
      </c>
    </row>
    <row r="47" spans="1:17" x14ac:dyDescent="0.25">
      <c r="E47"/>
      <c r="F47"/>
      <c r="L47" s="5" t="s">
        <v>64</v>
      </c>
      <c r="M47" s="5" t="s">
        <v>235</v>
      </c>
      <c r="N47" s="21">
        <v>2.64</v>
      </c>
      <c r="O47" s="21">
        <v>2.88</v>
      </c>
      <c r="P47" s="21">
        <v>2.64</v>
      </c>
      <c r="Q47" s="24" t="s">
        <v>57</v>
      </c>
    </row>
    <row r="48" spans="1:17" x14ac:dyDescent="0.25">
      <c r="E48" s="5" t="s">
        <v>89</v>
      </c>
      <c r="F48" s="5" t="s">
        <v>85</v>
      </c>
      <c r="G48" s="21">
        <v>0.1</v>
      </c>
      <c r="H48" s="21">
        <v>0.11</v>
      </c>
      <c r="I48" s="21">
        <v>0.1</v>
      </c>
      <c r="J48" s="23" t="s">
        <v>53</v>
      </c>
      <c r="L48" s="5" t="s">
        <v>64</v>
      </c>
      <c r="M48" s="5" t="s">
        <v>236</v>
      </c>
      <c r="N48" s="21">
        <v>8.0350000000000001</v>
      </c>
      <c r="O48" s="21" t="s">
        <v>18</v>
      </c>
      <c r="P48" s="21">
        <v>8.0350000000000001</v>
      </c>
      <c r="Q48" s="24" t="s">
        <v>57</v>
      </c>
    </row>
    <row r="49" spans="5:17" x14ac:dyDescent="0.25">
      <c r="E49" s="5" t="s">
        <v>89</v>
      </c>
      <c r="F49" s="5" t="s">
        <v>86</v>
      </c>
      <c r="G49" s="21">
        <v>0.1</v>
      </c>
      <c r="H49" s="21">
        <v>0.11</v>
      </c>
      <c r="I49" s="21">
        <v>0.1</v>
      </c>
      <c r="J49" s="23" t="s">
        <v>54</v>
      </c>
      <c r="L49"/>
      <c r="M49"/>
    </row>
    <row r="50" spans="5:17" x14ac:dyDescent="0.25">
      <c r="E50" s="5" t="s">
        <v>89</v>
      </c>
      <c r="F50" s="5" t="s">
        <v>83</v>
      </c>
      <c r="G50" s="21">
        <v>0.125</v>
      </c>
      <c r="H50" s="21">
        <v>0.13800000000000001</v>
      </c>
      <c r="I50" s="21">
        <v>0.125</v>
      </c>
      <c r="J50" s="23" t="s">
        <v>53</v>
      </c>
      <c r="L50" s="5" t="s">
        <v>89</v>
      </c>
      <c r="M50" s="5" t="s">
        <v>85</v>
      </c>
      <c r="N50" s="21">
        <v>0.1</v>
      </c>
      <c r="O50" s="21">
        <v>0.11</v>
      </c>
      <c r="P50" s="21">
        <v>0.1</v>
      </c>
      <c r="Q50" s="23" t="s">
        <v>53</v>
      </c>
    </row>
    <row r="51" spans="5:17" x14ac:dyDescent="0.25">
      <c r="E51" s="5" t="s">
        <v>89</v>
      </c>
      <c r="F51" s="5" t="s">
        <v>84</v>
      </c>
      <c r="G51" s="21">
        <v>0.1</v>
      </c>
      <c r="H51" s="21">
        <v>0.11</v>
      </c>
      <c r="I51" s="21">
        <v>0.1</v>
      </c>
      <c r="J51" s="23" t="s">
        <v>55</v>
      </c>
      <c r="L51" s="5" t="s">
        <v>89</v>
      </c>
      <c r="M51" s="5" t="s">
        <v>86</v>
      </c>
      <c r="N51" s="21">
        <v>0.1</v>
      </c>
      <c r="O51" s="21">
        <v>0.11</v>
      </c>
      <c r="P51" s="21">
        <v>0.1</v>
      </c>
      <c r="Q51" s="23" t="s">
        <v>54</v>
      </c>
    </row>
    <row r="52" spans="5:17" x14ac:dyDescent="0.25">
      <c r="E52" s="5" t="s">
        <v>89</v>
      </c>
      <c r="F52" s="5" t="s">
        <v>87</v>
      </c>
      <c r="G52" s="21">
        <v>0.25</v>
      </c>
      <c r="H52" s="21">
        <v>0.27600000000000002</v>
      </c>
      <c r="I52" s="21">
        <v>0.25</v>
      </c>
      <c r="J52" s="23" t="s">
        <v>53</v>
      </c>
      <c r="L52" s="5" t="s">
        <v>89</v>
      </c>
      <c r="M52" s="5" t="s">
        <v>83</v>
      </c>
      <c r="N52" s="21">
        <v>0.125</v>
      </c>
      <c r="O52" s="21">
        <v>0.13800000000000001</v>
      </c>
      <c r="P52" s="21">
        <v>0.125</v>
      </c>
      <c r="Q52" s="23" t="s">
        <v>53</v>
      </c>
    </row>
    <row r="53" spans="5:17" x14ac:dyDescent="0.25">
      <c r="E53" s="5" t="s">
        <v>89</v>
      </c>
      <c r="F53" s="5" t="s">
        <v>88</v>
      </c>
      <c r="G53" s="21">
        <v>0.2</v>
      </c>
      <c r="H53" s="21">
        <v>0.22</v>
      </c>
      <c r="I53" s="21">
        <v>0.2</v>
      </c>
      <c r="J53" s="23" t="s">
        <v>55</v>
      </c>
      <c r="L53" s="5" t="s">
        <v>89</v>
      </c>
      <c r="M53" s="5" t="s">
        <v>84</v>
      </c>
      <c r="N53" s="21">
        <v>0.1</v>
      </c>
      <c r="O53" s="21">
        <v>0.11</v>
      </c>
      <c r="P53" s="21">
        <v>0.1</v>
      </c>
      <c r="Q53" s="23" t="s">
        <v>55</v>
      </c>
    </row>
    <row r="54" spans="5:17" x14ac:dyDescent="0.25">
      <c r="L54" s="5" t="s">
        <v>89</v>
      </c>
      <c r="M54" s="5" t="s">
        <v>87</v>
      </c>
      <c r="N54" s="21">
        <v>0.25</v>
      </c>
      <c r="O54" s="21">
        <v>0.27600000000000002</v>
      </c>
      <c r="P54" s="21">
        <v>0.25</v>
      </c>
      <c r="Q54" s="23" t="s">
        <v>53</v>
      </c>
    </row>
    <row r="55" spans="5:17" x14ac:dyDescent="0.25">
      <c r="E55" s="5" t="s">
        <v>131</v>
      </c>
      <c r="F55" s="5" t="s">
        <v>131</v>
      </c>
      <c r="G55" s="21">
        <v>3.5</v>
      </c>
      <c r="H55" s="21">
        <v>3.5</v>
      </c>
      <c r="I55" s="21">
        <v>3.5</v>
      </c>
      <c r="J55" s="23" t="s">
        <v>55</v>
      </c>
      <c r="L55" s="5" t="s">
        <v>89</v>
      </c>
      <c r="M55" s="5" t="s">
        <v>88</v>
      </c>
      <c r="N55" s="21">
        <v>0.2</v>
      </c>
      <c r="O55" s="21">
        <v>0.22</v>
      </c>
      <c r="P55" s="21">
        <v>0.2</v>
      </c>
      <c r="Q55" s="23" t="s">
        <v>55</v>
      </c>
    </row>
    <row r="57" spans="5:17" x14ac:dyDescent="0.25">
      <c r="L57" s="5" t="s">
        <v>131</v>
      </c>
      <c r="M57" s="5" t="s">
        <v>131</v>
      </c>
      <c r="N57" s="21">
        <v>3.5</v>
      </c>
      <c r="O57" s="21">
        <v>3.5</v>
      </c>
      <c r="P57" s="21">
        <v>3.5</v>
      </c>
      <c r="Q57" s="23" t="s">
        <v>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Worksheet</vt:lpstr>
      <vt:lpstr>Costs</vt:lpstr>
      <vt:lpstr>AssmtCreationMgmt</vt:lpstr>
      <vt:lpstr>CloudwatchCosts</vt:lpstr>
      <vt:lpstr>DataCapacityOH</vt:lpstr>
      <vt:lpstr>DaysPerMonth</vt:lpstr>
      <vt:lpstr>EC2costs</vt:lpstr>
      <vt:lpstr>EC2names</vt:lpstr>
      <vt:lpstr>EC2storagecosts</vt:lpstr>
      <vt:lpstr>EC2storagenames</vt:lpstr>
      <vt:lpstr>MaxConcurrentStudents</vt:lpstr>
      <vt:lpstr>MinSSOStorage</vt:lpstr>
      <vt:lpstr>MinTDStorage</vt:lpstr>
      <vt:lpstr>MinTISStorage</vt:lpstr>
      <vt:lpstr>MinTRAStorage</vt:lpstr>
      <vt:lpstr>RDScosts</vt:lpstr>
      <vt:lpstr>RDSnames</vt:lpstr>
      <vt:lpstr>RDSstoragecosts</vt:lpstr>
      <vt:lpstr>RDSstoragenames</vt:lpstr>
      <vt:lpstr>Region</vt:lpstr>
      <vt:lpstr>RegionNames</vt:lpstr>
      <vt:lpstr>SecondsPerMonth</vt:lpstr>
      <vt:lpstr>SelectedRegion</vt:lpstr>
      <vt:lpstr>SupportCost</vt:lpstr>
      <vt:lpstr>UbuntuSupportCost</vt:lpstr>
      <vt:lpstr>YesNoList</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dlopezdequintana</dc:creator>
  <cp:lastModifiedBy>dlopezdequintana</cp:lastModifiedBy>
  <cp:lastPrinted>2013-10-14T17:11:22Z</cp:lastPrinted>
  <dcterms:created xsi:type="dcterms:W3CDTF">2013-06-13T12:59:41Z</dcterms:created>
  <dcterms:modified xsi:type="dcterms:W3CDTF">2014-04-30T17:16:57Z</dcterms:modified>
</cp:coreProperties>
</file>