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dor Ivanov\Desktop\BigBenchV2_latest\BigBenchV2_latest\"/>
    </mc:Choice>
  </mc:AlternateContent>
  <bookViews>
    <workbookView xWindow="0" yWindow="0" windowWidth="28800" windowHeight="14235"/>
  </bookViews>
  <sheets>
    <sheet name="SimpleChart (2)" sheetId="10" r:id="rId1"/>
    <sheet name="SimpleChart" sheetId="9" r:id="rId2"/>
    <sheet name="Summary" sheetId="3" r:id="rId3"/>
    <sheet name="Hive_1.1.0_1TB" sheetId="1" r:id="rId4"/>
    <sheet name="Hive_0.13.1_default" sheetId="6" r:id="rId5"/>
    <sheet name="Hive_0.13.1_Snappy" sheetId="4" r:id="rId6"/>
    <sheet name="Hive_0.13.1_Uncompressed" sheetId="5" r:id="rId7"/>
  </sheets>
  <definedNames>
    <definedName name="MetastoreSnappy" localSheetId="5">Hive_0.13.1_Snappy!$A$1:$G$24</definedName>
    <definedName name="MetastoreUncompressed" localSheetId="6">Hive_0.13.1_Uncompressed!$A$1:$G$24</definedName>
  </definedNames>
  <calcPr calcId="152511"/>
  <pivotCaches>
    <pivotCache cacheId="2" r:id="rId8"/>
    <pivotCache cacheId="3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2" i="3"/>
  <c r="G83" i="1" l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49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3" i="1"/>
  <c r="G53" i="1"/>
  <c r="G52" i="1"/>
  <c r="G51" i="1"/>
  <c r="G50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D31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18" i="1"/>
  <c r="G82" i="1" l="1"/>
  <c r="G54" i="1"/>
  <c r="G55" i="1" s="1"/>
  <c r="D54" i="1"/>
  <c r="D55" i="1" s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D3" i="1"/>
  <c r="D25" i="1"/>
  <c r="D24" i="1"/>
  <c r="D23" i="1"/>
  <c r="D22" i="1"/>
  <c r="D21" i="1"/>
  <c r="D20" i="1"/>
  <c r="D19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4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D3" i="6"/>
  <c r="F25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" i="6"/>
  <c r="D26" i="6"/>
  <c r="D25" i="6"/>
  <c r="C25" i="6"/>
  <c r="D22" i="6"/>
  <c r="D21" i="6"/>
  <c r="D20" i="6"/>
  <c r="D19" i="6"/>
  <c r="D18" i="6"/>
  <c r="D17" i="6"/>
  <c r="D16" i="6"/>
  <c r="D15" i="6"/>
  <c r="D14" i="6"/>
  <c r="D12" i="6"/>
  <c r="D13" i="6"/>
  <c r="D11" i="6"/>
  <c r="D10" i="6"/>
  <c r="D9" i="6"/>
  <c r="D8" i="6"/>
  <c r="D7" i="6"/>
  <c r="D6" i="6"/>
  <c r="D5" i="6"/>
  <c r="D2" i="6"/>
  <c r="D24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" i="6"/>
  <c r="D23" i="6"/>
  <c r="D26" i="1" l="1"/>
  <c r="D27" i="1" s="1"/>
  <c r="G26" i="1"/>
  <c r="G27" i="1" s="1"/>
  <c r="G26" i="4"/>
  <c r="G25" i="4"/>
  <c r="D26" i="4"/>
  <c r="D25" i="4"/>
  <c r="G26" i="5"/>
  <c r="G25" i="5"/>
  <c r="D26" i="5"/>
  <c r="D25" i="5"/>
  <c r="F25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E25" i="4"/>
  <c r="F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" i="4"/>
  <c r="C25" i="4" s="1"/>
  <c r="F25" i="5"/>
  <c r="E25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" i="5"/>
  <c r="C25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" i="5"/>
  <c r="B25" i="5"/>
  <c r="B25" i="4"/>
  <c r="E82" i="1"/>
  <c r="B82" i="1"/>
  <c r="E54" i="1"/>
  <c r="B54" i="1"/>
  <c r="E26" i="1"/>
  <c r="B26" i="1"/>
  <c r="H31" i="1" l="1"/>
  <c r="H4" i="1"/>
  <c r="H5" i="1"/>
  <c r="H6" i="1"/>
  <c r="H7" i="1"/>
  <c r="H8" i="1"/>
  <c r="H18" i="1"/>
  <c r="H9" i="1"/>
  <c r="H23" i="1"/>
  <c r="H25" i="1"/>
  <c r="H10" i="1"/>
  <c r="H11" i="1"/>
  <c r="H12" i="1"/>
  <c r="H13" i="1"/>
  <c r="H20" i="1"/>
  <c r="H19" i="1"/>
  <c r="H14" i="1"/>
  <c r="H15" i="1"/>
  <c r="H24" i="1"/>
  <c r="H17" i="1"/>
  <c r="H22" i="1"/>
  <c r="H21" i="1"/>
  <c r="H16" i="1"/>
  <c r="H3" i="1"/>
  <c r="H60" i="1"/>
  <c r="H61" i="1"/>
  <c r="H62" i="1"/>
  <c r="H63" i="1"/>
  <c r="H64" i="1"/>
  <c r="H74" i="1"/>
  <c r="H65" i="1"/>
  <c r="H79" i="1"/>
  <c r="H81" i="1"/>
  <c r="H66" i="1"/>
  <c r="H67" i="1"/>
  <c r="H68" i="1"/>
  <c r="H69" i="1"/>
  <c r="H76" i="1"/>
  <c r="H75" i="1"/>
  <c r="H70" i="1"/>
  <c r="H71" i="1"/>
  <c r="H80" i="1"/>
  <c r="H73" i="1"/>
  <c r="H78" i="1"/>
  <c r="H77" i="1"/>
  <c r="H72" i="1"/>
  <c r="H59" i="1"/>
  <c r="H32" i="1"/>
  <c r="H33" i="1"/>
  <c r="H34" i="1"/>
  <c r="H35" i="1"/>
  <c r="H36" i="1"/>
  <c r="H46" i="1"/>
  <c r="H37" i="1"/>
  <c r="H51" i="1"/>
  <c r="H53" i="1"/>
  <c r="H38" i="1"/>
  <c r="H39" i="1"/>
  <c r="H40" i="1"/>
  <c r="H41" i="1"/>
  <c r="H48" i="1"/>
  <c r="H47" i="1"/>
  <c r="H42" i="1"/>
  <c r="H43" i="1"/>
  <c r="H52" i="1"/>
  <c r="H45" i="1"/>
  <c r="H50" i="1"/>
  <c r="H49" i="1"/>
  <c r="H44" i="1"/>
  <c r="F60" i="1"/>
  <c r="F61" i="1"/>
  <c r="F62" i="1"/>
  <c r="F63" i="1"/>
  <c r="F64" i="1"/>
  <c r="F74" i="1"/>
  <c r="F65" i="1"/>
  <c r="F79" i="1"/>
  <c r="F81" i="1"/>
  <c r="F66" i="1"/>
  <c r="F67" i="1"/>
  <c r="F68" i="1"/>
  <c r="F69" i="1"/>
  <c r="F76" i="1"/>
  <c r="F75" i="1"/>
  <c r="F70" i="1"/>
  <c r="F71" i="1"/>
  <c r="F80" i="1"/>
  <c r="F73" i="1"/>
  <c r="F78" i="1"/>
  <c r="F77" i="1"/>
  <c r="F72" i="1"/>
  <c r="F59" i="1"/>
  <c r="C60" i="1"/>
  <c r="C61" i="1"/>
  <c r="C62" i="1"/>
  <c r="C63" i="1"/>
  <c r="C64" i="1"/>
  <c r="C74" i="1"/>
  <c r="C65" i="1"/>
  <c r="C79" i="1"/>
  <c r="C81" i="1"/>
  <c r="C66" i="1"/>
  <c r="C67" i="1"/>
  <c r="C68" i="1"/>
  <c r="C69" i="1"/>
  <c r="C76" i="1"/>
  <c r="C75" i="1"/>
  <c r="C70" i="1"/>
  <c r="C71" i="1"/>
  <c r="C80" i="1"/>
  <c r="C73" i="1"/>
  <c r="C78" i="1"/>
  <c r="C77" i="1"/>
  <c r="C72" i="1"/>
  <c r="C59" i="1"/>
  <c r="F32" i="1"/>
  <c r="F33" i="1"/>
  <c r="F34" i="1"/>
  <c r="F35" i="1"/>
  <c r="F36" i="1"/>
  <c r="F46" i="1"/>
  <c r="F37" i="1"/>
  <c r="F51" i="1"/>
  <c r="F53" i="1"/>
  <c r="F38" i="1"/>
  <c r="F39" i="1"/>
  <c r="F40" i="1"/>
  <c r="F41" i="1"/>
  <c r="F48" i="1"/>
  <c r="F47" i="1"/>
  <c r="F42" i="1"/>
  <c r="F43" i="1"/>
  <c r="F52" i="1"/>
  <c r="F45" i="1"/>
  <c r="F50" i="1"/>
  <c r="F49" i="1"/>
  <c r="F44" i="1"/>
  <c r="F31" i="1"/>
  <c r="C32" i="1"/>
  <c r="C33" i="1"/>
  <c r="C34" i="1"/>
  <c r="C35" i="1"/>
  <c r="C36" i="1"/>
  <c r="C46" i="1"/>
  <c r="C37" i="1"/>
  <c r="C51" i="1"/>
  <c r="C53" i="1"/>
  <c r="C38" i="1"/>
  <c r="C39" i="1"/>
  <c r="C40" i="1"/>
  <c r="C41" i="1"/>
  <c r="C48" i="1"/>
  <c r="C47" i="1"/>
  <c r="C42" i="1"/>
  <c r="C43" i="1"/>
  <c r="C52" i="1"/>
  <c r="C45" i="1"/>
  <c r="C50" i="1"/>
  <c r="C49" i="1"/>
  <c r="C44" i="1"/>
  <c r="C31" i="1"/>
  <c r="F4" i="1"/>
  <c r="F5" i="1"/>
  <c r="F6" i="1"/>
  <c r="F7" i="1"/>
  <c r="F8" i="1"/>
  <c r="F18" i="1"/>
  <c r="F9" i="1"/>
  <c r="F23" i="1"/>
  <c r="F25" i="1"/>
  <c r="F10" i="1"/>
  <c r="F11" i="1"/>
  <c r="F12" i="1"/>
  <c r="F13" i="1"/>
  <c r="F20" i="1"/>
  <c r="F19" i="1"/>
  <c r="F14" i="1"/>
  <c r="F15" i="1"/>
  <c r="F24" i="1"/>
  <c r="F17" i="1"/>
  <c r="F22" i="1"/>
  <c r="F21" i="1"/>
  <c r="F16" i="1"/>
  <c r="F3" i="1"/>
  <c r="C5" i="1"/>
  <c r="C6" i="1"/>
  <c r="C7" i="1"/>
  <c r="C8" i="1"/>
  <c r="C18" i="1"/>
  <c r="C9" i="1"/>
  <c r="C23" i="1"/>
  <c r="C25" i="1"/>
  <c r="C10" i="1"/>
  <c r="C11" i="1"/>
  <c r="C12" i="1"/>
  <c r="C13" i="1"/>
  <c r="C20" i="1"/>
  <c r="C19" i="1"/>
  <c r="C14" i="1"/>
  <c r="C15" i="1"/>
  <c r="C24" i="1"/>
  <c r="C17" i="1"/>
  <c r="C22" i="1"/>
  <c r="C21" i="1"/>
  <c r="C16" i="1"/>
  <c r="C4" i="1"/>
  <c r="C3" i="1"/>
  <c r="F26" i="1" l="1"/>
  <c r="F82" i="1"/>
  <c r="C82" i="1"/>
  <c r="C26" i="1"/>
  <c r="F54" i="1"/>
  <c r="C54" i="1"/>
</calcChain>
</file>

<file path=xl/connections.xml><?xml version="1.0" encoding="utf-8"?>
<connections xmlns="http://schemas.openxmlformats.org/spreadsheetml/2006/main">
  <connection id="1" name="MetastoreSnappy" type="6" refreshedVersion="5" background="1" saveData="1">
    <textPr codePage="437" sourceFile="C:\Users\Todor Ivanov\Dropbox\ORC_Parquet_Comparison\Results Hive 0.13.1\Populate Metastore\MetastoreSnappy.csv" semicolon="1">
      <textFields count="5">
        <textField/>
        <textField/>
        <textField/>
        <textField/>
        <textField/>
      </textFields>
    </textPr>
  </connection>
  <connection id="2" name="MetastoreUncompressed" type="6" refreshedVersion="5" background="1" saveData="1">
    <textPr codePage="437" sourceFile="C:\Users\Todor Ivanov\Dropbox\ORC_Parquet_Comparison\Results Hive 0.13.1\Populate Metastore\MetastoreUncompressed.csv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<sst xmlns="http://schemas.openxmlformats.org/spreadsheetml/2006/main" count="366" uniqueCount="68">
  <si>
    <t>Table</t>
  </si>
  <si>
    <t>customer</t>
  </si>
  <si>
    <t>customer_address</t>
  </si>
  <si>
    <t>customer_demographics</t>
  </si>
  <si>
    <t>date_dim</t>
  </si>
  <si>
    <t>household_demographics</t>
  </si>
  <si>
    <t>income_band</t>
  </si>
  <si>
    <t>inventory</t>
  </si>
  <si>
    <t>item</t>
  </si>
  <si>
    <t>item_marketprices</t>
  </si>
  <si>
    <t>product_reviews</t>
  </si>
  <si>
    <t>promotion</t>
  </si>
  <si>
    <t>reason</t>
  </si>
  <si>
    <t>ship_mode</t>
  </si>
  <si>
    <t>store</t>
  </si>
  <si>
    <t>store_returns</t>
  </si>
  <si>
    <t>store_sales</t>
  </si>
  <si>
    <t>time_dim</t>
  </si>
  <si>
    <t>warehouse</t>
  </si>
  <si>
    <t>web_clickstreams</t>
  </si>
  <si>
    <t>web_page</t>
  </si>
  <si>
    <t>web_returns</t>
  </si>
  <si>
    <t>web_sales</t>
  </si>
  <si>
    <t>web_site</t>
  </si>
  <si>
    <t>Parquet (sec.)</t>
  </si>
  <si>
    <t>ORC (sec.)</t>
  </si>
  <si>
    <t>ORC(min.)</t>
  </si>
  <si>
    <t>Parquet (min.)</t>
  </si>
  <si>
    <t>Default Configuration</t>
  </si>
  <si>
    <t>Snappy Configuration</t>
  </si>
  <si>
    <t>Uncompressed Configuration</t>
  </si>
  <si>
    <t>ORC to Parquet Loading Time Ratio %</t>
  </si>
  <si>
    <t>Row Labels</t>
  </si>
  <si>
    <t>Grand Total</t>
  </si>
  <si>
    <t>Default</t>
  </si>
  <si>
    <t>Snappy</t>
  </si>
  <si>
    <t>Uncompressed</t>
  </si>
  <si>
    <t>Total Time</t>
  </si>
  <si>
    <t>Configuration</t>
  </si>
  <si>
    <t>File Format</t>
  </si>
  <si>
    <t>No Compression</t>
  </si>
  <si>
    <t>ORC</t>
  </si>
  <si>
    <t>Parquet</t>
  </si>
  <si>
    <t>Total Time (min.)</t>
  </si>
  <si>
    <t>System</t>
  </si>
  <si>
    <t>Hive 1.1.0</t>
  </si>
  <si>
    <t>Hive 0.13.1</t>
  </si>
  <si>
    <t>Tabelle</t>
  </si>
  <si>
    <t>ORC Zeit(s)</t>
  </si>
  <si>
    <t>Parquet Zeit (s)</t>
  </si>
  <si>
    <t>Parquet Groesse</t>
  </si>
  <si>
    <t>ORC (min.)</t>
  </si>
  <si>
    <t>ORC Groesse (MB.)</t>
  </si>
  <si>
    <t>ORC Groesse (MB)</t>
  </si>
  <si>
    <t>Parquet Groesse(MB)</t>
  </si>
  <si>
    <t>ORC Zeit(sec)</t>
  </si>
  <si>
    <t>ORC(min)</t>
  </si>
  <si>
    <t>Parquet Zeit (sec)</t>
  </si>
  <si>
    <t>Parquet (min)</t>
  </si>
  <si>
    <t>in GB</t>
  </si>
  <si>
    <t>Data Size (GB)</t>
  </si>
  <si>
    <t>ORC Size</t>
  </si>
  <si>
    <t>Parquet Size</t>
  </si>
  <si>
    <t>Average of Total Time (min.)</t>
  </si>
  <si>
    <t>Column Labels</t>
  </si>
  <si>
    <t>Average of Data Size (GB)</t>
  </si>
  <si>
    <t>Data / Time Ratio %</t>
  </si>
  <si>
    <t>Average of Data / Time Ratio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</si>
</sst>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2" fontId="0" fillId="0" borderId="2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2" fontId="0" fillId="0" borderId="6" xfId="0" applyNumberForma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Alignment="1">
      <alignment horizontal="left" indent="1"/>
    </xf>
    <xf numFmtId="1" fontId="0" fillId="0" borderId="0" xfId="0" applyNumberFormat="1"/>
    <xf numFmtId="0" fontId="0" fillId="0" borderId="1" xfId="0" applyBorder="1" applyAlignment="1">
      <alignment horizontal="left" indent="1"/>
    </xf>
    <xf numFmtId="0" fontId="1" fillId="0" borderId="8" xfId="0" applyFont="1" applyBorder="1" applyAlignment="1">
      <alignment horizontal="center"/>
    </xf>
    <xf numFmtId="165" fontId="0" fillId="0" borderId="0" xfId="0" applyNumberFormat="1"/>
    <xf numFmtId="1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4">
    <dxf>
      <numFmt numFmtId="1" formatCode="0"/>
    </dxf>
    <dxf>
      <numFmt numFmtId="165" formatCode="0.0"/>
    </dxf>
    <dxf>
      <numFmt numFmtId="1" formatCode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 sz="8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Data Loading</a:t>
            </a:r>
            <a:r>
              <a:rPr lang="de-DE" sz="8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Times</a:t>
            </a:r>
            <a:endParaRPr lang="de-DE" sz="8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445858193560622"/>
          <c:y val="3.4920756830488799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6766398217308485E-2"/>
          <c:y val="6.7514980474716949E-2"/>
          <c:w val="0.88024079507602715"/>
          <c:h val="0.825050932120502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'SimpleChart (2)'!$A$2:$C$2</c:f>
              <c:strCache>
                <c:ptCount val="1"/>
                <c:pt idx="0">
                  <c:v>Hive 0.13.1 ORC Default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'SimpleChart (2)'!$E$2</c:f>
            </c:numRef>
          </c:xVal>
          <c:yVal>
            <c:numRef>
              <c:f>'SimpleChart (2)'!$D$2</c:f>
            </c:numRef>
          </c:yVal>
          <c:smooth val="0"/>
        </c:ser>
        <c:ser>
          <c:idx val="1"/>
          <c:order val="1"/>
          <c:tx>
            <c:strRef>
              <c:f>'SimpleChart (2)'!$A$3:$C$3</c:f>
              <c:strCache>
                <c:ptCount val="1"/>
                <c:pt idx="0">
                  <c:v>Hive 0.13.1 Parquet Default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'SimpleChart (2)'!$E$3</c:f>
            </c:numRef>
          </c:xVal>
          <c:yVal>
            <c:numRef>
              <c:f>'SimpleChart (2)'!$D$3</c:f>
            </c:numRef>
          </c:yVal>
          <c:smooth val="0"/>
        </c:ser>
        <c:ser>
          <c:idx val="2"/>
          <c:order val="2"/>
          <c:tx>
            <c:strRef>
              <c:f>'SimpleChart (2)'!$A$4:$C$4</c:f>
              <c:strCache>
                <c:ptCount val="1"/>
                <c:pt idx="0">
                  <c:v>Hive 0.13.1 ORC No Compression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'SimpleChart (2)'!$E$4</c:f>
            </c:numRef>
          </c:xVal>
          <c:yVal>
            <c:numRef>
              <c:f>'SimpleChart (2)'!$D$4</c:f>
            </c:numRef>
          </c:yVal>
          <c:smooth val="0"/>
        </c:ser>
        <c:ser>
          <c:idx val="3"/>
          <c:order val="3"/>
          <c:tx>
            <c:strRef>
              <c:f>'SimpleChart (2)'!$A$5:$C$5</c:f>
              <c:strCache>
                <c:ptCount val="1"/>
                <c:pt idx="0">
                  <c:v>Hive 0.13.1 Parquet No Compression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'SimpleChart (2)'!$E$5</c:f>
            </c:numRef>
          </c:xVal>
          <c:yVal>
            <c:numRef>
              <c:f>'SimpleChart (2)'!$D$5</c:f>
            </c:numRef>
          </c:yVal>
          <c:smooth val="0"/>
        </c:ser>
        <c:ser>
          <c:idx val="4"/>
          <c:order val="4"/>
          <c:tx>
            <c:strRef>
              <c:f>'SimpleChart (2)'!$A$6:$C$6</c:f>
              <c:strCache>
                <c:ptCount val="1"/>
                <c:pt idx="0">
                  <c:v>Hive 0.13.1 ORC Snappy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'SimpleChart (2)'!$E$6</c:f>
            </c:numRef>
          </c:xVal>
          <c:yVal>
            <c:numRef>
              <c:f>'SimpleChart (2)'!$D$6</c:f>
            </c:numRef>
          </c:yVal>
          <c:smooth val="0"/>
        </c:ser>
        <c:ser>
          <c:idx val="6"/>
          <c:order val="5"/>
          <c:tx>
            <c:strRef>
              <c:f>'SimpleChart (2)'!$A$8:$C$8</c:f>
              <c:strCache>
                <c:ptCount val="1"/>
                <c:pt idx="0">
                  <c:v>Hive 1.1.0 ORC Default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8324940152345188E-2"/>
                  <c:y val="0.1199715134179031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'SimpleChart (2)'!$E$8</c:f>
              <c:numCache>
                <c:formatCode>0</c:formatCode>
                <c:ptCount val="1"/>
                <c:pt idx="0">
                  <c:v>176.5429666666667</c:v>
                </c:pt>
              </c:numCache>
            </c:numRef>
          </c:xVal>
          <c:yVal>
            <c:numRef>
              <c:f>'SimpleChart (2)'!$D$8</c:f>
              <c:numCache>
                <c:formatCode>0</c:formatCode>
                <c:ptCount val="1"/>
                <c:pt idx="0">
                  <c:v>253.57624431835936</c:v>
                </c:pt>
              </c:numCache>
            </c:numRef>
          </c:yVal>
          <c:smooth val="0"/>
        </c:ser>
        <c:ser>
          <c:idx val="7"/>
          <c:order val="6"/>
          <c:tx>
            <c:strRef>
              <c:f>'SimpleChart (2)'!$A$9:$C$9</c:f>
              <c:strCache>
                <c:ptCount val="1"/>
                <c:pt idx="0">
                  <c:v>Hive 1.1.0 Parquet Default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7628644681002913E-2"/>
                  <c:y val="-0.175180678101622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'SimpleChart (2)'!$E$9</c:f>
              <c:numCache>
                <c:formatCode>0</c:formatCode>
                <c:ptCount val="1"/>
                <c:pt idx="0">
                  <c:v>243.96661666666665</c:v>
                </c:pt>
              </c:numCache>
            </c:numRef>
          </c:xVal>
          <c:yVal>
            <c:numRef>
              <c:f>'SimpleChart (2)'!$D$9</c:f>
              <c:numCache>
                <c:formatCode>0</c:formatCode>
                <c:ptCount val="1"/>
                <c:pt idx="0">
                  <c:v>511.78703635253908</c:v>
                </c:pt>
              </c:numCache>
            </c:numRef>
          </c:yVal>
          <c:smooth val="0"/>
        </c:ser>
        <c:ser>
          <c:idx val="8"/>
          <c:order val="7"/>
          <c:tx>
            <c:strRef>
              <c:f>'SimpleChart (2)'!$A$10:$C$10</c:f>
              <c:strCache>
                <c:ptCount val="1"/>
                <c:pt idx="0">
                  <c:v>Hive 1.1.0 ORC No Compression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solidFill>
                    <a:schemeClr val="accent3">
                      <a:lumMod val="60000"/>
                    </a:schemeClr>
                  </a:solidFill>
                </a:ln>
                <a:effectLst/>
              </c:spPr>
            </c:marker>
            <c:bubble3D val="0"/>
          </c:dPt>
          <c:dLbls>
            <c:dLbl>
              <c:idx val="0"/>
              <c:layout>
                <c:manualLayout>
                  <c:x val="-0.30576380561283029"/>
                  <c:y val="-6.2744979442748761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'SimpleChart (2)'!$E$10</c:f>
              <c:numCache>
                <c:formatCode>0</c:formatCode>
                <c:ptCount val="1"/>
                <c:pt idx="0">
                  <c:v>174.19953333333336</c:v>
                </c:pt>
              </c:numCache>
            </c:numRef>
          </c:xVal>
          <c:yVal>
            <c:numRef>
              <c:f>'SimpleChart (2)'!$D$10</c:f>
              <c:numCache>
                <c:formatCode>0</c:formatCode>
                <c:ptCount val="1"/>
                <c:pt idx="0">
                  <c:v>592.02059092675779</c:v>
                </c:pt>
              </c:numCache>
            </c:numRef>
          </c:yVal>
          <c:smooth val="0"/>
        </c:ser>
        <c:ser>
          <c:idx val="9"/>
          <c:order val="8"/>
          <c:tx>
            <c:strRef>
              <c:f>'SimpleChart (2)'!$A$11:$C$11</c:f>
              <c:strCache>
                <c:ptCount val="1"/>
                <c:pt idx="0">
                  <c:v>Hive 1.1.0 Parquet No Compression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5748783897222839E-2"/>
                  <c:y val="0.1110097099266371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780591190519323"/>
                      <c:h val="0.11884886769155417"/>
                    </c:manualLayout>
                  </c15:layout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'SimpleChart (2)'!$E$11</c:f>
              <c:numCache>
                <c:formatCode>0</c:formatCode>
                <c:ptCount val="1"/>
                <c:pt idx="0">
                  <c:v>245.88684999999998</c:v>
                </c:pt>
              </c:numCache>
            </c:numRef>
          </c:xVal>
          <c:yVal>
            <c:numRef>
              <c:f>'SimpleChart (2)'!$D$11</c:f>
              <c:numCache>
                <c:formatCode>0</c:formatCode>
                <c:ptCount val="1"/>
                <c:pt idx="0">
                  <c:v>511.77849688085939</c:v>
                </c:pt>
              </c:numCache>
            </c:numRef>
          </c:yVal>
          <c:smooth val="0"/>
        </c:ser>
        <c:ser>
          <c:idx val="10"/>
          <c:order val="9"/>
          <c:tx>
            <c:strRef>
              <c:f>'SimpleChart (2)'!$A$12:$C$12</c:f>
              <c:strCache>
                <c:ptCount val="1"/>
                <c:pt idx="0">
                  <c:v>Hive 1.1.0 ORC Snappy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30024190033852455"/>
                  <c:y val="-3.116374547659339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'SimpleChart (2)'!$E$12</c:f>
              <c:numCache>
                <c:formatCode>0</c:formatCode>
                <c:ptCount val="1"/>
                <c:pt idx="0">
                  <c:v>154.42016666666669</c:v>
                </c:pt>
              </c:numCache>
            </c:numRef>
          </c:xVal>
          <c:yVal>
            <c:numRef>
              <c:f>'SimpleChart (2)'!$D$12</c:f>
              <c:numCache>
                <c:formatCode>0</c:formatCode>
                <c:ptCount val="1"/>
                <c:pt idx="0">
                  <c:v>378.89262352832026</c:v>
                </c:pt>
              </c:numCache>
            </c:numRef>
          </c:yVal>
          <c:smooth val="0"/>
        </c:ser>
        <c:ser>
          <c:idx val="11"/>
          <c:order val="10"/>
          <c:tx>
            <c:strRef>
              <c:f>'SimpleChart (2)'!$A$13:$C$13</c:f>
              <c:strCache>
                <c:ptCount val="1"/>
                <c:pt idx="0">
                  <c:v>Hive 1.1.0 Parquet Snappy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6521644106643325E-2"/>
                  <c:y val="7.4130023323296809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'SimpleChart (2)'!$E$13</c:f>
              <c:numCache>
                <c:formatCode>0</c:formatCode>
                <c:ptCount val="1"/>
                <c:pt idx="0">
                  <c:v>239.87228333333334</c:v>
                </c:pt>
              </c:numCache>
            </c:numRef>
          </c:xVal>
          <c:yVal>
            <c:numRef>
              <c:f>'SimpleChart (2)'!$D$13</c:f>
              <c:numCache>
                <c:formatCode>0</c:formatCode>
                <c:ptCount val="1"/>
                <c:pt idx="0">
                  <c:v>338.55799281054686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08992"/>
        <c:axId val="190109552"/>
      </c:scatterChart>
      <c:valAx>
        <c:axId val="19010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6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(min.)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90109552"/>
        <c:crosses val="autoZero"/>
        <c:crossBetween val="midCat"/>
      </c:valAx>
      <c:valAx>
        <c:axId val="19010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600" b="0" i="0" u="none" strike="noStrike" baseline="0">
                    <a:solidFill>
                      <a:schemeClr val="tx1"/>
                    </a:solidFill>
                    <a:effectLst/>
                  </a:rPr>
                  <a:t>Data Size (GB)</a:t>
                </a:r>
                <a:endParaRPr lang="de-DE" sz="6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9010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 sz="800">
                <a:latin typeface="Times New Roman" panose="02020603050405020304" pitchFamily="18" charset="0"/>
                <a:cs typeface="Times New Roman" panose="02020603050405020304" pitchFamily="18" charset="0"/>
              </a:rPr>
              <a:t>Data Loading</a:t>
            </a:r>
            <a:r>
              <a:rPr lang="de-DE" sz="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Times</a:t>
            </a:r>
            <a:endParaRPr lang="de-DE" sz="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445858193560622"/>
          <c:y val="3.4920756830488799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6766398217308485E-2"/>
          <c:y val="6.7514980474716949E-2"/>
          <c:w val="0.88024079507602715"/>
          <c:h val="0.82505093212050218"/>
        </c:manualLayout>
      </c:layout>
      <c:scatterChart>
        <c:scatterStyle val="lineMarker"/>
        <c:varyColors val="0"/>
        <c:ser>
          <c:idx val="0"/>
          <c:order val="0"/>
          <c:tx>
            <c:strRef>
              <c:f>SimpleChart!$A$2:$C$2</c:f>
              <c:strCache>
                <c:ptCount val="1"/>
                <c:pt idx="0">
                  <c:v>Hive 0.13.1 ORC Default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9666120154967075E-2"/>
                  <c:y val="0.13583128154214061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SimpleChart!$E$2</c:f>
              <c:numCache>
                <c:formatCode>0</c:formatCode>
                <c:ptCount val="1"/>
                <c:pt idx="0">
                  <c:v>208.05214999999998</c:v>
                </c:pt>
              </c:numCache>
            </c:numRef>
          </c:xVal>
          <c:yVal>
            <c:numRef>
              <c:f>SimpleChart!$D$2</c:f>
              <c:numCache>
                <c:formatCode>0</c:formatCode>
                <c:ptCount val="1"/>
                <c:pt idx="0">
                  <c:v>244.32191852636723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SimpleChart!$A$3:$C$3</c:f>
              <c:strCache>
                <c:ptCount val="1"/>
                <c:pt idx="0">
                  <c:v>Hive 0.13.1 Parquet Default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28409993627071051"/>
                  <c:y val="-1.996434265099973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SimpleChart!$E$3</c:f>
              <c:numCache>
                <c:formatCode>0</c:formatCode>
                <c:ptCount val="1"/>
                <c:pt idx="0">
                  <c:v>207.0460333333333</c:v>
                </c:pt>
              </c:numCache>
            </c:numRef>
          </c:xVal>
          <c:yVal>
            <c:numRef>
              <c:f>SimpleChart!$D$3</c:f>
              <c:numCache>
                <c:formatCode>0</c:formatCode>
                <c:ptCount val="1"/>
                <c:pt idx="0">
                  <c:v>481.55703196972649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SimpleChart!$A$4:$C$4</c:f>
              <c:strCache>
                <c:ptCount val="1"/>
                <c:pt idx="0">
                  <c:v>Hive 0.13.1 ORC No Compression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2370796310632676E-7"/>
                  <c:y val="2.5877279037209582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5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5945108923193624"/>
                      <c:h val="0.10662884683188195"/>
                    </c:manualLayout>
                  </c15:layout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SimpleChart!$E$4</c:f>
              <c:numCache>
                <c:formatCode>0</c:formatCode>
                <c:ptCount val="1"/>
                <c:pt idx="0">
                  <c:v>192.85600000000002</c:v>
                </c:pt>
              </c:numCache>
            </c:numRef>
          </c:xVal>
          <c:yVal>
            <c:numRef>
              <c:f>SimpleChart!$D$4</c:f>
              <c:numCache>
                <c:formatCode>0</c:formatCode>
                <c:ptCount val="1"/>
                <c:pt idx="0">
                  <c:v>430.10108984374995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SimpleChart!$A$5:$C$5</c:f>
              <c:strCache>
                <c:ptCount val="1"/>
                <c:pt idx="0">
                  <c:v>Hive 0.13.1 Parquet No Compression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20330339848042087"/>
                  <c:y val="-0.1315881675205757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5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SimpleChart!$E$5</c:f>
              <c:numCache>
                <c:formatCode>0</c:formatCode>
                <c:ptCount val="1"/>
                <c:pt idx="0">
                  <c:v>245.38199999999998</c:v>
                </c:pt>
              </c:numCache>
            </c:numRef>
          </c:xVal>
          <c:yVal>
            <c:numRef>
              <c:f>SimpleChart!$D$5</c:f>
              <c:numCache>
                <c:formatCode>0</c:formatCode>
                <c:ptCount val="1"/>
                <c:pt idx="0">
                  <c:v>541.284646484375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SimpleChart!$A$6:$C$6</c:f>
              <c:strCache>
                <c:ptCount val="1"/>
                <c:pt idx="0">
                  <c:v>Hive 0.13.1 ORC Snappy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35835332870510073"/>
                  <c:y val="3.9928685301999424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SimpleChart!$E$6</c:f>
              <c:numCache>
                <c:formatCode>0</c:formatCode>
                <c:ptCount val="1"/>
                <c:pt idx="0">
                  <c:v>185.95183333333335</c:v>
                </c:pt>
              </c:numCache>
            </c:numRef>
          </c:xVal>
          <c:yVal>
            <c:numRef>
              <c:f>SimpleChart!$D$6</c:f>
              <c:numCache>
                <c:formatCode>0</c:formatCode>
                <c:ptCount val="1"/>
                <c:pt idx="0">
                  <c:v>335.691369140625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SimpleChart!$A$7:$C$7</c:f>
              <c:strCache>
                <c:ptCount val="1"/>
                <c:pt idx="0">
                  <c:v>Hive 0.13.1 Parquet Snappy</c:v>
                </c:pt>
              </c:strCache>
            </c:strRef>
          </c:tx>
          <c:spPr>
            <a:ln w="25400" cap="rnd">
              <a:noFill/>
              <a:round/>
            </a:ln>
            <a:effectLst>
              <a:softEdge rad="114300"/>
            </a:effectLst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6039098643987418E-2"/>
                  <c:y val="-5.9475329085670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664966177005807"/>
                      <c:h val="9.5220936973990311E-2"/>
                    </c:manualLayout>
                  </c15:layout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SimpleChart!$E$7</c:f>
              <c:numCache>
                <c:formatCode>0</c:formatCode>
                <c:ptCount val="1"/>
                <c:pt idx="0">
                  <c:v>239.68316666666664</c:v>
                </c:pt>
              </c:numCache>
            </c:numRef>
          </c:xVal>
          <c:yVal>
            <c:numRef>
              <c:f>SimpleChart!$D$9</c:f>
              <c:numCache>
                <c:formatCode>0</c:formatCode>
                <c:ptCount val="1"/>
                <c:pt idx="0">
                  <c:v>511.78703635253908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SimpleChart!$A$8:$C$8</c:f>
              <c:strCache>
                <c:ptCount val="1"/>
                <c:pt idx="0">
                  <c:v>Hive 1.1.0 ORC Default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6464882670234354"/>
                  <c:y val="6.8449174803427479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SimpleChart!$E$8</c:f>
              <c:numCache>
                <c:formatCode>0</c:formatCode>
                <c:ptCount val="1"/>
                <c:pt idx="0">
                  <c:v>176.5429666666667</c:v>
                </c:pt>
              </c:numCache>
            </c:numRef>
          </c:xVal>
          <c:yVal>
            <c:numRef>
              <c:f>SimpleChart!$D$8</c:f>
              <c:numCache>
                <c:formatCode>0</c:formatCode>
                <c:ptCount val="1"/>
                <c:pt idx="0">
                  <c:v>253.57624431835936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SimpleChart!$A$9:$C$9</c:f>
              <c:strCache>
                <c:ptCount val="1"/>
                <c:pt idx="0">
                  <c:v>Hive 1.1.0 Parquet Default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8265079938849829E-3"/>
                  <c:y val="-0.17049684080706573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5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SimpleChart!$E$9</c:f>
              <c:numCache>
                <c:formatCode>0</c:formatCode>
                <c:ptCount val="1"/>
                <c:pt idx="0">
                  <c:v>243.96661666666665</c:v>
                </c:pt>
              </c:numCache>
            </c:numRef>
          </c:xVal>
          <c:yVal>
            <c:numRef>
              <c:f>SimpleChart!$D$9</c:f>
              <c:numCache>
                <c:formatCode>0</c:formatCode>
                <c:ptCount val="1"/>
                <c:pt idx="0">
                  <c:v>511.78703635253908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SimpleChart!$A$10:$C$10</c:f>
              <c:strCache>
                <c:ptCount val="1"/>
                <c:pt idx="0">
                  <c:v>Hive 1.1.0 ORC No Compression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solidFill>
                    <a:schemeClr val="accent3">
                      <a:lumMod val="60000"/>
                    </a:schemeClr>
                  </a:solidFill>
                </a:ln>
                <a:effectLst/>
              </c:spPr>
            </c:marker>
            <c:bubble3D val="0"/>
          </c:dPt>
          <c:dLbls>
            <c:dLbl>
              <c:idx val="0"/>
              <c:layout>
                <c:manualLayout>
                  <c:x val="-0.22276017730317074"/>
                  <c:y val="-6.274507690314194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SimpleChart!$E$10</c:f>
              <c:numCache>
                <c:formatCode>0</c:formatCode>
                <c:ptCount val="1"/>
                <c:pt idx="0">
                  <c:v>174.19953333333336</c:v>
                </c:pt>
              </c:numCache>
            </c:numRef>
          </c:xVal>
          <c:yVal>
            <c:numRef>
              <c:f>SimpleChart!$D$10</c:f>
              <c:numCache>
                <c:formatCode>0</c:formatCode>
                <c:ptCount val="1"/>
                <c:pt idx="0">
                  <c:v>592.02059092675779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SimpleChart!$A$11:$C$11</c:f>
              <c:strCache>
                <c:ptCount val="1"/>
                <c:pt idx="0">
                  <c:v>Hive 1.1.0 Parquet No Compression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2620628955754255E-3"/>
                  <c:y val="8.0564605674660533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5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7244296258799036"/>
                      <c:h val="9.5429681218771337E-2"/>
                    </c:manualLayout>
                  </c15:layout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SimpleChart!$E$11</c:f>
              <c:numCache>
                <c:formatCode>0</c:formatCode>
                <c:ptCount val="1"/>
                <c:pt idx="0">
                  <c:v>245.88684999999998</c:v>
                </c:pt>
              </c:numCache>
            </c:numRef>
          </c:xVal>
          <c:yVal>
            <c:numRef>
              <c:f>SimpleChart!$D$11</c:f>
              <c:numCache>
                <c:formatCode>0</c:formatCode>
                <c:ptCount val="1"/>
                <c:pt idx="0">
                  <c:v>511.77849688085939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SimpleChart!$A$12:$C$12</c:f>
              <c:strCache>
                <c:ptCount val="1"/>
                <c:pt idx="0">
                  <c:v>Hive 1.1.0 ORC Snappy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3002419781042735"/>
                  <c:y val="-1.711229370085694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SimpleChart!$E$12</c:f>
              <c:numCache>
                <c:formatCode>0</c:formatCode>
                <c:ptCount val="1"/>
                <c:pt idx="0">
                  <c:v>154.42016666666669</c:v>
                </c:pt>
              </c:numCache>
            </c:numRef>
          </c:xVal>
          <c:yVal>
            <c:numRef>
              <c:f>SimpleChart!$D$12</c:f>
              <c:numCache>
                <c:formatCode>0</c:formatCode>
                <c:ptCount val="1"/>
                <c:pt idx="0">
                  <c:v>378.89262352832026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SimpleChart!$A$13:$C$13</c:f>
              <c:strCache>
                <c:ptCount val="1"/>
                <c:pt idx="0">
                  <c:v>Hive 1.1.0 Parquet Snappy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1969308767264041E-2"/>
                  <c:y val="8.556146850428447E-3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5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SimpleChart!$E$13</c:f>
              <c:numCache>
                <c:formatCode>0</c:formatCode>
                <c:ptCount val="1"/>
                <c:pt idx="0">
                  <c:v>239.87228333333334</c:v>
                </c:pt>
              </c:numCache>
            </c:numRef>
          </c:xVal>
          <c:yVal>
            <c:numRef>
              <c:f>SimpleChart!$D$13</c:f>
              <c:numCache>
                <c:formatCode>0</c:formatCode>
                <c:ptCount val="1"/>
                <c:pt idx="0">
                  <c:v>338.55799281054686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136832"/>
        <c:axId val="234137392"/>
      </c:scatterChart>
      <c:valAx>
        <c:axId val="23413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(min.)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234137392"/>
        <c:crosses val="autoZero"/>
        <c:crossBetween val="midCat"/>
      </c:valAx>
      <c:valAx>
        <c:axId val="23413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600" b="0" i="0" u="none" strike="noStrike" baseline="0">
                    <a:effectLst/>
                  </a:rPr>
                  <a:t>Data Size (GB)</a:t>
                </a:r>
                <a:endParaRPr lang="de-DE" sz="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23413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[Loading_times.xlsx]Summary!PivotTable1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 sz="8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Loading Times (minutes) for the Different File Config.</a:t>
            </a:r>
            <a:endParaRPr lang="de-DE" sz="8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74493480394123"/>
          <c:y val="1.8604651162790697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8.6828479295877684E-3"/>
          <c:y val="0.20697747665262772"/>
          <c:w val="0.99131715207041227"/>
          <c:h val="0.545602148568638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Summary!$I$2:$I$3</c:f>
              <c:strCache>
                <c:ptCount val="1"/>
                <c:pt idx="0">
                  <c:v>Hive 0.13.1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Summary!$H$4:$H$13</c:f>
              <c:multiLvlStrCache>
                <c:ptCount val="6"/>
                <c:lvl>
                  <c:pt idx="0">
                    <c:v>ORC</c:v>
                  </c:pt>
                  <c:pt idx="1">
                    <c:v>Parquet</c:v>
                  </c:pt>
                  <c:pt idx="2">
                    <c:v>ORC</c:v>
                  </c:pt>
                  <c:pt idx="3">
                    <c:v>Parquet</c:v>
                  </c:pt>
                  <c:pt idx="4">
                    <c:v>ORC</c:v>
                  </c:pt>
                  <c:pt idx="5">
                    <c:v>Parquet</c:v>
                  </c:pt>
                </c:lvl>
                <c:lvl>
                  <c:pt idx="0">
                    <c:v>Default</c:v>
                  </c:pt>
                  <c:pt idx="2">
                    <c:v>Uncompressed</c:v>
                  </c:pt>
                  <c:pt idx="4">
                    <c:v>Snappy</c:v>
                  </c:pt>
                </c:lvl>
              </c:multiLvlStrCache>
            </c:multiLvlStrRef>
          </c:cat>
          <c:val>
            <c:numRef>
              <c:f>Summary!$I$4:$I$13</c:f>
              <c:numCache>
                <c:formatCode>0</c:formatCode>
                <c:ptCount val="6"/>
                <c:pt idx="0">
                  <c:v>208.05214999999998</c:v>
                </c:pt>
                <c:pt idx="1">
                  <c:v>207.0460333333333</c:v>
                </c:pt>
                <c:pt idx="2">
                  <c:v>192.85600000000002</c:v>
                </c:pt>
                <c:pt idx="3">
                  <c:v>245.38199999999998</c:v>
                </c:pt>
                <c:pt idx="4">
                  <c:v>185.95183333333335</c:v>
                </c:pt>
                <c:pt idx="5">
                  <c:v>239.68316666666664</c:v>
                </c:pt>
              </c:numCache>
            </c:numRef>
          </c:val>
        </c:ser>
        <c:ser>
          <c:idx val="1"/>
          <c:order val="1"/>
          <c:tx>
            <c:strRef>
              <c:f>Summary!$J$2:$J$3</c:f>
              <c:strCache>
                <c:ptCount val="1"/>
                <c:pt idx="0">
                  <c:v>Hive 1.1.0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Summary!$H$4:$H$13</c:f>
              <c:multiLvlStrCache>
                <c:ptCount val="6"/>
                <c:lvl>
                  <c:pt idx="0">
                    <c:v>ORC</c:v>
                  </c:pt>
                  <c:pt idx="1">
                    <c:v>Parquet</c:v>
                  </c:pt>
                  <c:pt idx="2">
                    <c:v>ORC</c:v>
                  </c:pt>
                  <c:pt idx="3">
                    <c:v>Parquet</c:v>
                  </c:pt>
                  <c:pt idx="4">
                    <c:v>ORC</c:v>
                  </c:pt>
                  <c:pt idx="5">
                    <c:v>Parquet</c:v>
                  </c:pt>
                </c:lvl>
                <c:lvl>
                  <c:pt idx="0">
                    <c:v>Default</c:v>
                  </c:pt>
                  <c:pt idx="2">
                    <c:v>Uncompressed</c:v>
                  </c:pt>
                  <c:pt idx="4">
                    <c:v>Snappy</c:v>
                  </c:pt>
                </c:lvl>
              </c:multiLvlStrCache>
            </c:multiLvlStrRef>
          </c:cat>
          <c:val>
            <c:numRef>
              <c:f>Summary!$J$4:$J$13</c:f>
              <c:numCache>
                <c:formatCode>0</c:formatCode>
                <c:ptCount val="6"/>
                <c:pt idx="0">
                  <c:v>176.5429666666667</c:v>
                </c:pt>
                <c:pt idx="1">
                  <c:v>243.96661666666665</c:v>
                </c:pt>
                <c:pt idx="2">
                  <c:v>174.19953333333336</c:v>
                </c:pt>
                <c:pt idx="3">
                  <c:v>245.88684999999998</c:v>
                </c:pt>
                <c:pt idx="4">
                  <c:v>154.42016666666669</c:v>
                </c:pt>
                <c:pt idx="5">
                  <c:v>239.87228333333334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90112912"/>
        <c:axId val="190113472"/>
      </c:barChart>
      <c:catAx>
        <c:axId val="19011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90113472"/>
        <c:crosses val="autoZero"/>
        <c:auto val="1"/>
        <c:lblAlgn val="ctr"/>
        <c:lblOffset val="100"/>
        <c:noMultiLvlLbl val="0"/>
      </c:catAx>
      <c:valAx>
        <c:axId val="1901134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9011291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[Loading_times.xlsx]Summary!PivotTable2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 sz="8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Data Sizes (GB) for the Different File Config.</a:t>
            </a:r>
            <a:endParaRPr lang="de-DE" sz="8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74493480394123"/>
          <c:y val="1.8604651162790697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8.6828479295877684E-3"/>
          <c:y val="0.20697747665262772"/>
          <c:w val="0.99131715207041227"/>
          <c:h val="0.545602148568638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Summary!$P$2:$P$3</c:f>
              <c:strCache>
                <c:ptCount val="1"/>
                <c:pt idx="0">
                  <c:v>Hive 0.13.1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Summary!$O$4:$O$13</c:f>
              <c:multiLvlStrCache>
                <c:ptCount val="6"/>
                <c:lvl>
                  <c:pt idx="0">
                    <c:v>ORC</c:v>
                  </c:pt>
                  <c:pt idx="1">
                    <c:v>Parquet</c:v>
                  </c:pt>
                  <c:pt idx="2">
                    <c:v>ORC</c:v>
                  </c:pt>
                  <c:pt idx="3">
                    <c:v>Parquet</c:v>
                  </c:pt>
                  <c:pt idx="4">
                    <c:v>ORC</c:v>
                  </c:pt>
                  <c:pt idx="5">
                    <c:v>Parquet</c:v>
                  </c:pt>
                </c:lvl>
                <c:lvl>
                  <c:pt idx="0">
                    <c:v>Default</c:v>
                  </c:pt>
                  <c:pt idx="2">
                    <c:v>Uncompressed</c:v>
                  </c:pt>
                  <c:pt idx="4">
                    <c:v>Snappy</c:v>
                  </c:pt>
                </c:lvl>
              </c:multiLvlStrCache>
            </c:multiLvlStrRef>
          </c:cat>
          <c:val>
            <c:numRef>
              <c:f>Summary!$P$4:$P$13</c:f>
              <c:numCache>
                <c:formatCode>0</c:formatCode>
                <c:ptCount val="6"/>
                <c:pt idx="0">
                  <c:v>244.32191852636723</c:v>
                </c:pt>
                <c:pt idx="1">
                  <c:v>481.55703196972649</c:v>
                </c:pt>
                <c:pt idx="2">
                  <c:v>430.10108984374995</c:v>
                </c:pt>
                <c:pt idx="3">
                  <c:v>541.284646484375</c:v>
                </c:pt>
                <c:pt idx="4">
                  <c:v>335.691369140625</c:v>
                </c:pt>
                <c:pt idx="5">
                  <c:v>333.64203417968753</c:v>
                </c:pt>
              </c:numCache>
            </c:numRef>
          </c:val>
        </c:ser>
        <c:ser>
          <c:idx val="1"/>
          <c:order val="1"/>
          <c:tx>
            <c:strRef>
              <c:f>Summary!$Q$2:$Q$3</c:f>
              <c:strCache>
                <c:ptCount val="1"/>
                <c:pt idx="0">
                  <c:v>Hive 1.1.0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Summary!$O$4:$O$13</c:f>
              <c:multiLvlStrCache>
                <c:ptCount val="6"/>
                <c:lvl>
                  <c:pt idx="0">
                    <c:v>ORC</c:v>
                  </c:pt>
                  <c:pt idx="1">
                    <c:v>Parquet</c:v>
                  </c:pt>
                  <c:pt idx="2">
                    <c:v>ORC</c:v>
                  </c:pt>
                  <c:pt idx="3">
                    <c:v>Parquet</c:v>
                  </c:pt>
                  <c:pt idx="4">
                    <c:v>ORC</c:v>
                  </c:pt>
                  <c:pt idx="5">
                    <c:v>Parquet</c:v>
                  </c:pt>
                </c:lvl>
                <c:lvl>
                  <c:pt idx="0">
                    <c:v>Default</c:v>
                  </c:pt>
                  <c:pt idx="2">
                    <c:v>Uncompressed</c:v>
                  </c:pt>
                  <c:pt idx="4">
                    <c:v>Snappy</c:v>
                  </c:pt>
                </c:lvl>
              </c:multiLvlStrCache>
            </c:multiLvlStrRef>
          </c:cat>
          <c:val>
            <c:numRef>
              <c:f>Summary!$Q$4:$Q$13</c:f>
              <c:numCache>
                <c:formatCode>0</c:formatCode>
                <c:ptCount val="6"/>
                <c:pt idx="0">
                  <c:v>253.57624431835936</c:v>
                </c:pt>
                <c:pt idx="1">
                  <c:v>511.78703635253908</c:v>
                </c:pt>
                <c:pt idx="2">
                  <c:v>592.02059092675779</c:v>
                </c:pt>
                <c:pt idx="3">
                  <c:v>511.77849688085939</c:v>
                </c:pt>
                <c:pt idx="4">
                  <c:v>378.89262352832026</c:v>
                </c:pt>
                <c:pt idx="5">
                  <c:v>338.55799281054686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90116272"/>
        <c:axId val="190116832"/>
      </c:barChart>
      <c:catAx>
        <c:axId val="19011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90116832"/>
        <c:crosses val="autoZero"/>
        <c:auto val="1"/>
        <c:lblAlgn val="ctr"/>
        <c:lblOffset val="100"/>
        <c:noMultiLvlLbl val="0"/>
      </c:catAx>
      <c:valAx>
        <c:axId val="19011683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9011627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[Loading_times.xlsx]Summary!PivotTable3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 sz="8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Data Size / Time  Ratio (%) for the Different File Config.</a:t>
            </a:r>
            <a:endParaRPr lang="de-DE" sz="8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74493480394123"/>
          <c:y val="1.8604651162790697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8.6828479295877684E-3"/>
          <c:y val="0.20697747665262772"/>
          <c:w val="0.99131715207041227"/>
          <c:h val="0.545602148568638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Summary!$P$16:$P$17</c:f>
              <c:strCache>
                <c:ptCount val="1"/>
                <c:pt idx="0">
                  <c:v>Hive 0.13.1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Summary!$O$18:$O$27</c:f>
              <c:multiLvlStrCache>
                <c:ptCount val="6"/>
                <c:lvl>
                  <c:pt idx="0">
                    <c:v>ORC</c:v>
                  </c:pt>
                  <c:pt idx="1">
                    <c:v>Parquet</c:v>
                  </c:pt>
                  <c:pt idx="2">
                    <c:v>ORC</c:v>
                  </c:pt>
                  <c:pt idx="3">
                    <c:v>Parquet</c:v>
                  </c:pt>
                  <c:pt idx="4">
                    <c:v>ORC</c:v>
                  </c:pt>
                  <c:pt idx="5">
                    <c:v>Parquet</c:v>
                  </c:pt>
                </c:lvl>
                <c:lvl>
                  <c:pt idx="0">
                    <c:v>Default</c:v>
                  </c:pt>
                  <c:pt idx="2">
                    <c:v>No Compression</c:v>
                  </c:pt>
                  <c:pt idx="4">
                    <c:v>Snappy</c:v>
                  </c:pt>
                </c:lvl>
              </c:multiLvlStrCache>
            </c:multiLvlStrRef>
          </c:cat>
          <c:val>
            <c:numRef>
              <c:f>Summary!$P$18:$P$27</c:f>
              <c:numCache>
                <c:formatCode>0.0</c:formatCode>
                <c:ptCount val="6"/>
                <c:pt idx="0">
                  <c:v>1.1743301788823968</c:v>
                </c:pt>
                <c:pt idx="1">
                  <c:v>2.3258452442527351</c:v>
                </c:pt>
                <c:pt idx="2">
                  <c:v>2.2301670149943478</c:v>
                </c:pt>
                <c:pt idx="3">
                  <c:v>2.2058857067118822</c:v>
                </c:pt>
                <c:pt idx="4">
                  <c:v>1.8052597983203085</c:v>
                </c:pt>
                <c:pt idx="5">
                  <c:v>1.3920127926367554</c:v>
                </c:pt>
              </c:numCache>
            </c:numRef>
          </c:val>
        </c:ser>
        <c:ser>
          <c:idx val="1"/>
          <c:order val="1"/>
          <c:tx>
            <c:strRef>
              <c:f>Summary!$Q$16:$Q$17</c:f>
              <c:strCache>
                <c:ptCount val="1"/>
                <c:pt idx="0">
                  <c:v>Hive 1.1.0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Summary!$O$18:$O$27</c:f>
              <c:multiLvlStrCache>
                <c:ptCount val="6"/>
                <c:lvl>
                  <c:pt idx="0">
                    <c:v>ORC</c:v>
                  </c:pt>
                  <c:pt idx="1">
                    <c:v>Parquet</c:v>
                  </c:pt>
                  <c:pt idx="2">
                    <c:v>ORC</c:v>
                  </c:pt>
                  <c:pt idx="3">
                    <c:v>Parquet</c:v>
                  </c:pt>
                  <c:pt idx="4">
                    <c:v>ORC</c:v>
                  </c:pt>
                  <c:pt idx="5">
                    <c:v>Parquet</c:v>
                  </c:pt>
                </c:lvl>
                <c:lvl>
                  <c:pt idx="0">
                    <c:v>Default</c:v>
                  </c:pt>
                  <c:pt idx="2">
                    <c:v>No Compression</c:v>
                  </c:pt>
                  <c:pt idx="4">
                    <c:v>Snappy</c:v>
                  </c:pt>
                </c:lvl>
              </c:multiLvlStrCache>
            </c:multiLvlStrRef>
          </c:cat>
          <c:val>
            <c:numRef>
              <c:f>Summary!$Q$18:$Q$27</c:f>
              <c:numCache>
                <c:formatCode>0.0</c:formatCode>
                <c:ptCount val="6"/>
                <c:pt idx="0">
                  <c:v>1.4363429430589567</c:v>
                </c:pt>
                <c:pt idx="1">
                  <c:v>2.0977748650414636</c:v>
                </c:pt>
                <c:pt idx="2">
                  <c:v>3.3985199592579716</c:v>
                </c:pt>
                <c:pt idx="3">
                  <c:v>2.08135773377413</c:v>
                </c:pt>
                <c:pt idx="4">
                  <c:v>2.4536472904229059</c:v>
                </c:pt>
                <c:pt idx="5">
                  <c:v>1.4114093888041124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34123952"/>
        <c:axId val="234124512"/>
      </c:barChart>
      <c:catAx>
        <c:axId val="23412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234124512"/>
        <c:crosses val="autoZero"/>
        <c:auto val="1"/>
        <c:lblAlgn val="ctr"/>
        <c:lblOffset val="100"/>
        <c:noMultiLvlLbl val="0"/>
      </c:catAx>
      <c:valAx>
        <c:axId val="234124512"/>
        <c:scaling>
          <c:orientation val="minMax"/>
        </c:scaling>
        <c:delete val="1"/>
        <c:axPos val="l"/>
        <c:numFmt formatCode="0.0" sourceLinked="1"/>
        <c:majorTickMark val="out"/>
        <c:minorTickMark val="none"/>
        <c:tickLblPos val="nextTo"/>
        <c:crossAx val="23412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Summary!$E$1</c:f>
              <c:strCache>
                <c:ptCount val="1"/>
                <c:pt idx="0">
                  <c:v>Data Size (GB)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6.4000000000000003E-3"/>
                  <c:y val="-3.095632407406121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8.5333333333333337E-3"/>
                  <c:y val="3.980098809522143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5.5466666666666747E-2"/>
                  <c:y val="7.960197619044311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10453333333333334"/>
                  <c:y val="-1.7689328042320714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1.9199999999999998E-2"/>
                  <c:y val="3.9800988095221514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6.4000000000000784E-3"/>
                  <c:y val="-6.6334980158702525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Summary!$D$2:$D$13</c:f>
              <c:numCache>
                <c:formatCode>0</c:formatCode>
                <c:ptCount val="12"/>
                <c:pt idx="0">
                  <c:v>208.05214999999998</c:v>
                </c:pt>
                <c:pt idx="1">
                  <c:v>207.0460333333333</c:v>
                </c:pt>
                <c:pt idx="2">
                  <c:v>192.85600000000002</c:v>
                </c:pt>
                <c:pt idx="3">
                  <c:v>245.38199999999998</c:v>
                </c:pt>
                <c:pt idx="4">
                  <c:v>185.95183333333335</c:v>
                </c:pt>
                <c:pt idx="5">
                  <c:v>239.68316666666664</c:v>
                </c:pt>
                <c:pt idx="6">
                  <c:v>176.5429666666667</c:v>
                </c:pt>
                <c:pt idx="7">
                  <c:v>243.96661666666665</c:v>
                </c:pt>
                <c:pt idx="8">
                  <c:v>174.19953333333336</c:v>
                </c:pt>
                <c:pt idx="9">
                  <c:v>245.88684999999998</c:v>
                </c:pt>
                <c:pt idx="10">
                  <c:v>154.42016666666669</c:v>
                </c:pt>
                <c:pt idx="11">
                  <c:v>239.87228333333334</c:v>
                </c:pt>
              </c:numCache>
            </c:numRef>
          </c:xVal>
          <c:yVal>
            <c:numRef>
              <c:f>Summary!$E$2:$E$13</c:f>
              <c:numCache>
                <c:formatCode>0</c:formatCode>
                <c:ptCount val="12"/>
                <c:pt idx="0">
                  <c:v>244.32191852636723</c:v>
                </c:pt>
                <c:pt idx="1">
                  <c:v>481.55703196972649</c:v>
                </c:pt>
                <c:pt idx="2">
                  <c:v>430.10108984374995</c:v>
                </c:pt>
                <c:pt idx="3">
                  <c:v>541.284646484375</c:v>
                </c:pt>
                <c:pt idx="4">
                  <c:v>335.691369140625</c:v>
                </c:pt>
                <c:pt idx="5">
                  <c:v>333.64203417968753</c:v>
                </c:pt>
                <c:pt idx="6">
                  <c:v>253.57624431835936</c:v>
                </c:pt>
                <c:pt idx="7">
                  <c:v>511.78703635253908</c:v>
                </c:pt>
                <c:pt idx="8">
                  <c:v>592.02059092675779</c:v>
                </c:pt>
                <c:pt idx="9">
                  <c:v>511.77849688085939</c:v>
                </c:pt>
                <c:pt idx="10">
                  <c:v>378.89262352832026</c:v>
                </c:pt>
                <c:pt idx="11">
                  <c:v>338.55799281054686</c:v>
                </c:pt>
              </c:numCache>
            </c:numRef>
          </c:yVal>
          <c:smooth val="0"/>
        </c:ser>
        <c:ser>
          <c:idx val="1"/>
          <c:order val="1"/>
          <c:tx>
            <c:v>Hive0.13.1-ORC-Default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6933333333333334E-2"/>
                  <c:y val="9.2868972222183446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Summary!$D$2</c:f>
              <c:numCache>
                <c:formatCode>0</c:formatCode>
                <c:ptCount val="1"/>
                <c:pt idx="0">
                  <c:v>208.05214999999998</c:v>
                </c:pt>
              </c:numCache>
            </c:numRef>
          </c:xVal>
          <c:yVal>
            <c:numRef>
              <c:f>Summary!$E$2</c:f>
              <c:numCache>
                <c:formatCode>0</c:formatCode>
                <c:ptCount val="1"/>
                <c:pt idx="0">
                  <c:v>244.32191852636723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234127312"/>
        <c:axId val="234127872"/>
      </c:scatterChart>
      <c:valAx>
        <c:axId val="23412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4127872"/>
        <c:crosses val="autoZero"/>
        <c:crossBetween val="midCat"/>
      </c:valAx>
      <c:valAx>
        <c:axId val="2341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412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561974</xdr:colOff>
      <xdr:row>13</xdr:row>
      <xdr:rowOff>185736</xdr:rowOff>
    </xdr:from>
    <xdr:to>
      <xdr:col>5</xdr:col>
      <xdr:colOff>0</xdr:colOff>
      <xdr:row>28</xdr:row>
      <xdr:rowOff>39688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0.52518</cdr:x>
      <cdr:y>0.06739</cdr:y>
    </cdr:from>
    <cdr:to>
      <cdr:x>0.52541</cdr:x>
      <cdr:y>0.89651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2008879" y="182730"/>
          <a:ext cx="897" cy="2248108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0.08452</cdr:x>
      <cdr:y>0.47614</cdr:y>
    </cdr:from>
    <cdr:to>
      <cdr:x>0.96224</cdr:x>
      <cdr:y>0.4791</cdr:y>
    </cdr:to>
    <cdr:cxnSp macro="">
      <cdr:nvCxnSpPr>
        <cdr:cNvPr id="4" name="Straight Connector 3"/>
        <cdr:cNvCxnSpPr/>
      </cdr:nvCxnSpPr>
      <cdr:spPr>
        <a:xfrm xmlns:a="http://schemas.openxmlformats.org/drawingml/2006/main" flipV="1">
          <a:off x="323291" y="1291029"/>
          <a:ext cx="3357393" cy="801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561974</xdr:colOff>
      <xdr:row>13</xdr:row>
      <xdr:rowOff>185736</xdr:rowOff>
    </xdr:from>
    <xdr:to>
      <xdr:col>5</xdr:col>
      <xdr:colOff>0</xdr:colOff>
      <xdr:row>28</xdr:row>
      <xdr:rowOff>39688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481012</xdr:colOff>
      <xdr:row>16</xdr:row>
      <xdr:rowOff>114300</xdr:rowOff>
    </xdr:from>
    <xdr:to>
      <xdr:col>5</xdr:col>
      <xdr:colOff>219075</xdr:colOff>
      <xdr:row>26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490536</xdr:colOff>
      <xdr:row>27</xdr:row>
      <xdr:rowOff>23812</xdr:rowOff>
    </xdr:from>
    <xdr:to>
      <xdr:col>5</xdr:col>
      <xdr:colOff>238125</xdr:colOff>
      <xdr:row>36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4763</xdr:colOff>
      <xdr:row>16</xdr:row>
      <xdr:rowOff>138112</xdr:rowOff>
    </xdr:from>
    <xdr:to>
      <xdr:col>9</xdr:col>
      <xdr:colOff>619126</xdr:colOff>
      <xdr:row>26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380999</xdr:colOff>
      <xdr:row>38</xdr:row>
      <xdr:rowOff>176212</xdr:rowOff>
    </xdr:from>
    <xdr:to>
      <xdr:col>7</xdr:col>
      <xdr:colOff>19049</xdr:colOff>
      <xdr:row>54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dor Ivanov" refreshedDate="42514.962485300923" createdVersion="5" refreshedVersion="5" minRefreshableVersion="3" recordCount="12">
  <cacheSource type="worksheet">
    <worksheetSource ref="A1:E13" sheet="Summary"/>
  </cacheSource>
  <cacheFields count="5">
    <cacheField name="System" numFmtId="0">
      <sharedItems count="2">
        <s v="Hive 0.13.1"/>
        <s v="Hive 1.1.0"/>
      </sharedItems>
    </cacheField>
    <cacheField name="Configuration" numFmtId="0">
      <sharedItems count="3">
        <s v="Default"/>
        <s v="No Compression"/>
        <s v="Snappy"/>
      </sharedItems>
    </cacheField>
    <cacheField name="File Format" numFmtId="0">
      <sharedItems count="2">
        <s v="ORC"/>
        <s v="Parquet"/>
      </sharedItems>
    </cacheField>
    <cacheField name="Total Time (min.)" numFmtId="2">
      <sharedItems containsSemiMixedTypes="0" containsString="0" containsNumber="1" minValue="154.42016666666669" maxValue="245.88684999999998" count="12">
        <n v="208.05214999999998"/>
        <n v="207.0460333333333"/>
        <n v="192.85600000000002"/>
        <n v="245.38199999999998"/>
        <n v="185.95183333333335"/>
        <n v="239.68316666666664"/>
        <n v="176.5429666666667"/>
        <n v="243.96661666666665"/>
        <n v="174.19953333333336"/>
        <n v="245.88684999999998"/>
        <n v="154.42016666666669"/>
        <n v="239.87228333333334"/>
      </sharedItems>
    </cacheField>
    <cacheField name="Data Size (GB)" numFmtId="2">
      <sharedItems containsSemiMixedTypes="0" containsString="0" containsNumber="1" minValue="244.32191852636723" maxValue="592.02059092675779" count="12">
        <n v="244.32191852636723"/>
        <n v="481.55703196972649"/>
        <n v="430.10108984374995"/>
        <n v="541.284646484375"/>
        <n v="335.691369140625"/>
        <n v="333.64203417968753"/>
        <n v="253.57624431835936"/>
        <n v="511.78703635253908"/>
        <n v="592.02059092675779"/>
        <n v="511.77849688085939"/>
        <n v="378.89262352832026"/>
        <n v="338.5579928105468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odor Ivanov" refreshedDate="42519.181886342594" createdVersion="5" refreshedVersion="5" minRefreshableVersion="3" recordCount="12">
  <cacheSource type="worksheet">
    <worksheetSource ref="A1:F13" sheet="Summary"/>
  </cacheSource>
  <cacheFields count="6">
    <cacheField name="System" numFmtId="0">
      <sharedItems count="2">
        <s v="Hive 0.13.1"/>
        <s v="Hive 1.1.0"/>
      </sharedItems>
    </cacheField>
    <cacheField name="Configuration" numFmtId="0">
      <sharedItems count="3">
        <s v="Default"/>
        <s v="No Compression"/>
        <s v="Snappy"/>
      </sharedItems>
    </cacheField>
    <cacheField name="File Format" numFmtId="0">
      <sharedItems count="2">
        <s v="ORC"/>
        <s v="Parquet"/>
      </sharedItems>
    </cacheField>
    <cacheField name="Total Time (min.)" numFmtId="2">
      <sharedItems containsSemiMixedTypes="0" containsString="0" containsNumber="1" minValue="154.42016666666669" maxValue="245.88684999999998"/>
    </cacheField>
    <cacheField name="Data Size (GB)" numFmtId="2">
      <sharedItems containsSemiMixedTypes="0" containsString="0" containsNumber="1" minValue="244.32191852636723" maxValue="592.02059092675779"/>
    </cacheField>
    <cacheField name="Data / Time Ratio %" numFmtId="2">
      <sharedItems containsSemiMixedTypes="0" containsString="0" containsNumber="1" minValue="1.1743301788823968" maxValue="3.3985199592579716" count="12">
        <n v="1.1743301788823968"/>
        <n v="2.3258452442527351"/>
        <n v="2.2301670149943478"/>
        <n v="2.2058857067118822"/>
        <n v="1.8052597983203085"/>
        <n v="1.3920127926367554"/>
        <n v="1.4363429430589567"/>
        <n v="2.0977748650414636"/>
        <n v="3.3985199592579716"/>
        <n v="2.08135773377413"/>
        <n v="2.4536472904229059"/>
        <n v="1.41140938880411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x v="0"/>
    <x v="0"/>
    <x v="0"/>
  </r>
  <r>
    <x v="0"/>
    <x v="0"/>
    <x v="1"/>
    <x v="1"/>
    <x v="1"/>
  </r>
  <r>
    <x v="0"/>
    <x v="1"/>
    <x v="0"/>
    <x v="2"/>
    <x v="2"/>
  </r>
  <r>
    <x v="0"/>
    <x v="1"/>
    <x v="1"/>
    <x v="3"/>
    <x v="3"/>
  </r>
  <r>
    <x v="0"/>
    <x v="2"/>
    <x v="0"/>
    <x v="4"/>
    <x v="4"/>
  </r>
  <r>
    <x v="0"/>
    <x v="2"/>
    <x v="1"/>
    <x v="5"/>
    <x v="5"/>
  </r>
  <r>
    <x v="1"/>
    <x v="0"/>
    <x v="0"/>
    <x v="6"/>
    <x v="6"/>
  </r>
  <r>
    <x v="1"/>
    <x v="0"/>
    <x v="1"/>
    <x v="7"/>
    <x v="7"/>
  </r>
  <r>
    <x v="1"/>
    <x v="1"/>
    <x v="0"/>
    <x v="8"/>
    <x v="8"/>
  </r>
  <r>
    <x v="1"/>
    <x v="1"/>
    <x v="1"/>
    <x v="9"/>
    <x v="9"/>
  </r>
  <r>
    <x v="1"/>
    <x v="2"/>
    <x v="0"/>
    <x v="10"/>
    <x v="10"/>
  </r>
  <r>
    <x v="1"/>
    <x v="2"/>
    <x v="1"/>
    <x v="11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x v="0"/>
    <x v="0"/>
    <x v="0"/>
    <n v="208.05214999999998"/>
    <n v="244.32191852636723"/>
    <x v="0"/>
  </r>
  <r>
    <x v="0"/>
    <x v="0"/>
    <x v="1"/>
    <n v="207.0460333333333"/>
    <n v="481.55703196972649"/>
    <x v="1"/>
  </r>
  <r>
    <x v="0"/>
    <x v="1"/>
    <x v="0"/>
    <n v="192.85600000000002"/>
    <n v="430.10108984374995"/>
    <x v="2"/>
  </r>
  <r>
    <x v="0"/>
    <x v="1"/>
    <x v="1"/>
    <n v="245.38199999999998"/>
    <n v="541.284646484375"/>
    <x v="3"/>
  </r>
  <r>
    <x v="0"/>
    <x v="2"/>
    <x v="0"/>
    <n v="185.95183333333335"/>
    <n v="335.691369140625"/>
    <x v="4"/>
  </r>
  <r>
    <x v="0"/>
    <x v="2"/>
    <x v="1"/>
    <n v="239.68316666666664"/>
    <n v="333.64203417968753"/>
    <x v="5"/>
  </r>
  <r>
    <x v="1"/>
    <x v="0"/>
    <x v="0"/>
    <n v="176.5429666666667"/>
    <n v="253.57624431835936"/>
    <x v="6"/>
  </r>
  <r>
    <x v="1"/>
    <x v="0"/>
    <x v="1"/>
    <n v="243.96661666666665"/>
    <n v="511.78703635253908"/>
    <x v="7"/>
  </r>
  <r>
    <x v="1"/>
    <x v="1"/>
    <x v="0"/>
    <n v="174.19953333333336"/>
    <n v="592.02059092675779"/>
    <x v="8"/>
  </r>
  <r>
    <x v="1"/>
    <x v="1"/>
    <x v="1"/>
    <n v="245.88684999999998"/>
    <n v="511.77849688085939"/>
    <x v="9"/>
  </r>
  <r>
    <x v="1"/>
    <x v="2"/>
    <x v="0"/>
    <n v="154.42016666666669"/>
    <n v="378.89262352832026"/>
    <x v="10"/>
  </r>
  <r>
    <x v="1"/>
    <x v="2"/>
    <x v="1"/>
    <n v="239.87228333333334"/>
    <n v="338.55799281054686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6">
  <location ref="H2:K13" firstHeaderRow="1" firstDataRow="2" firstDataCol="1"/>
  <pivotFields count="5">
    <pivotField axis="axisCol" showAll="0">
      <items count="3">
        <item x="0"/>
        <item x="1"/>
        <item t="default"/>
      </items>
    </pivotField>
    <pivotField axis="axisRow" showAll="0">
      <items count="4">
        <item x="0"/>
        <item n="Uncompressed"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dataField="1" numFmtId="2" showAll="0">
      <items count="13">
        <item x="10"/>
        <item x="8"/>
        <item x="6"/>
        <item x="4"/>
        <item x="2"/>
        <item x="1"/>
        <item x="0"/>
        <item x="5"/>
        <item x="11"/>
        <item x="7"/>
        <item x="3"/>
        <item x="9"/>
        <item t="default"/>
      </items>
    </pivotField>
    <pivotField numFmtId="2" showAll="0"/>
  </pivotFields>
  <rowFields count="2">
    <field x="1"/>
    <field x="2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Total Time (min.)" fld="3" subtotal="average" baseField="2" baseItem="0" numFmtId="1"/>
  </dataFields>
  <formats count="1">
    <format dxfId="0">
      <pivotArea outline="0" collapsedLevelsAreSubtotals="1" fieldPosition="0"/>
    </format>
  </format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8">
  <location ref="O16:R27" firstHeaderRow="1" firstDataRow="2" firstDataCol="1"/>
  <pivotFields count="6">
    <pivotField axis="axisCol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numFmtId="2" showAll="0"/>
    <pivotField numFmtId="2" showAll="0"/>
    <pivotField dataField="1" numFmtId="2" showAll="0">
      <items count="13">
        <item x="0"/>
        <item x="5"/>
        <item x="11"/>
        <item x="6"/>
        <item x="4"/>
        <item x="9"/>
        <item x="7"/>
        <item x="3"/>
        <item x="2"/>
        <item x="1"/>
        <item x="10"/>
        <item x="8"/>
        <item t="default"/>
      </items>
    </pivotField>
  </pivotFields>
  <rowFields count="2">
    <field x="1"/>
    <field x="2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Data / Time Ratio %" fld="5" subtotal="average" baseField="1" baseItem="0" numFmtId="165"/>
  </dataFields>
  <formats count="1">
    <format dxfId="1">
      <pivotArea outline="0" collapsedLevelsAreSubtotals="1" fieldPosition="0"/>
    </format>
  </formats>
  <chartFormats count="6"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4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4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5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5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6">
  <location ref="O2:R13" firstHeaderRow="1" firstDataRow="2" firstDataCol="1"/>
  <pivotFields count="5">
    <pivotField axis="axisCol" showAll="0">
      <items count="3">
        <item x="0"/>
        <item x="1"/>
        <item t="default"/>
      </items>
    </pivotField>
    <pivotField axis="axisRow" showAll="0">
      <items count="4">
        <item x="0"/>
        <item n="Uncompressed"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numFmtId="2" showAll="0"/>
    <pivotField dataField="1" numFmtId="2" showAll="0">
      <items count="13">
        <item x="0"/>
        <item x="6"/>
        <item x="5"/>
        <item x="4"/>
        <item x="11"/>
        <item x="10"/>
        <item x="2"/>
        <item x="1"/>
        <item x="9"/>
        <item x="7"/>
        <item x="3"/>
        <item x="8"/>
        <item t="default"/>
      </items>
    </pivotField>
  </pivotFields>
  <rowFields count="2">
    <field x="1"/>
    <field x="2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Data Size (GB)" fld="4" subtotal="average" baseField="1" baseItem="0" numFmtId="1"/>
  </dataFields>
  <formats count="2">
    <format dxfId="3">
      <pivotArea dataOnly="0" labelOnly="1" fieldPosition="0">
        <references count="1">
          <reference field="2" count="1">
            <x v="1"/>
          </reference>
        </references>
      </pivotArea>
    </format>
    <format dxfId="2">
      <pivotArea outline="0" collapsedLevelsAreSubtotals="1" fieldPosition="0"/>
    </format>
  </formats>
  <chartFormats count="2"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MetastoreSnappy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etastoreUncompressed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="170" zoomScaleNormal="170" workbookViewId="0">
      <selection activeCell="F20" sqref="F20"/>
    </sheetView>
  </sheetViews>
  <sheetFormatPr defaultRowHeight="15" x14ac:dyDescent="0.25"/>
  <cols>
    <col min="2" max="2" width="11" bestFit="1" customWidth="1"/>
    <col min="3" max="3" width="15.7109375" bestFit="1" customWidth="1"/>
    <col min="4" max="4" width="13.5703125" bestFit="1" customWidth="1"/>
    <col min="5" max="5" width="16.28515625" bestFit="1" customWidth="1"/>
  </cols>
  <sheetData>
    <row r="1" spans="1:5" ht="15.75" thickBot="1" x14ac:dyDescent="0.3">
      <c r="A1" s="15" t="s">
        <v>44</v>
      </c>
      <c r="B1" s="15" t="s">
        <v>39</v>
      </c>
      <c r="C1" s="15" t="s">
        <v>38</v>
      </c>
      <c r="D1" s="15" t="s">
        <v>60</v>
      </c>
      <c r="E1" s="15" t="s">
        <v>43</v>
      </c>
    </row>
    <row r="2" spans="1:5" ht="15.75" hidden="1" thickBot="1" x14ac:dyDescent="0.3">
      <c r="A2" s="17" t="s">
        <v>46</v>
      </c>
      <c r="B2" s="18" t="s">
        <v>41</v>
      </c>
      <c r="C2" s="21" t="s">
        <v>34</v>
      </c>
      <c r="D2" s="31">
        <v>244.32191852636723</v>
      </c>
      <c r="E2" s="30">
        <v>208.05214999999998</v>
      </c>
    </row>
    <row r="3" spans="1:5" ht="15.75" hidden="1" thickBot="1" x14ac:dyDescent="0.3">
      <c r="A3" s="17" t="s">
        <v>46</v>
      </c>
      <c r="B3" s="19" t="s">
        <v>42</v>
      </c>
      <c r="C3" s="21" t="s">
        <v>34</v>
      </c>
      <c r="D3" s="33">
        <v>481.55703196972649</v>
      </c>
      <c r="E3" s="32">
        <v>207.0460333333333</v>
      </c>
    </row>
    <row r="4" spans="1:5" ht="15.75" hidden="1" thickBot="1" x14ac:dyDescent="0.3">
      <c r="A4" s="17" t="s">
        <v>46</v>
      </c>
      <c r="B4" s="19" t="s">
        <v>41</v>
      </c>
      <c r="C4" s="22" t="s">
        <v>40</v>
      </c>
      <c r="D4" s="33">
        <v>430.10108984374995</v>
      </c>
      <c r="E4" s="32">
        <v>192.85600000000002</v>
      </c>
    </row>
    <row r="5" spans="1:5" ht="15.75" hidden="1" thickBot="1" x14ac:dyDescent="0.3">
      <c r="A5" s="17" t="s">
        <v>46</v>
      </c>
      <c r="B5" s="19" t="s">
        <v>42</v>
      </c>
      <c r="C5" s="22" t="s">
        <v>40</v>
      </c>
      <c r="D5" s="33">
        <v>541.284646484375</v>
      </c>
      <c r="E5" s="32">
        <v>245.38199999999998</v>
      </c>
    </row>
    <row r="6" spans="1:5" ht="15.75" hidden="1" thickBot="1" x14ac:dyDescent="0.3">
      <c r="A6" s="17" t="s">
        <v>46</v>
      </c>
      <c r="B6" s="19" t="s">
        <v>41</v>
      </c>
      <c r="C6" s="22" t="s">
        <v>35</v>
      </c>
      <c r="D6" s="33">
        <v>335.691369140625</v>
      </c>
      <c r="E6" s="32">
        <v>185.95183333333335</v>
      </c>
    </row>
    <row r="7" spans="1:5" ht="15.75" hidden="1" thickBot="1" x14ac:dyDescent="0.3">
      <c r="A7" s="17" t="s">
        <v>46</v>
      </c>
      <c r="B7" s="20" t="s">
        <v>42</v>
      </c>
      <c r="C7" s="22" t="s">
        <v>35</v>
      </c>
      <c r="D7" s="35">
        <v>333.64203417968753</v>
      </c>
      <c r="E7" s="34">
        <v>239.68316666666664</v>
      </c>
    </row>
    <row r="8" spans="1:5" ht="15.75" thickBot="1" x14ac:dyDescent="0.3">
      <c r="A8" s="17" t="s">
        <v>45</v>
      </c>
      <c r="B8" s="18" t="s">
        <v>41</v>
      </c>
      <c r="C8" s="21" t="s">
        <v>34</v>
      </c>
      <c r="D8" s="31">
        <v>253.57624431835936</v>
      </c>
      <c r="E8" s="30">
        <v>176.5429666666667</v>
      </c>
    </row>
    <row r="9" spans="1:5" ht="15.75" thickBot="1" x14ac:dyDescent="0.3">
      <c r="A9" s="17" t="s">
        <v>45</v>
      </c>
      <c r="B9" s="19" t="s">
        <v>42</v>
      </c>
      <c r="C9" s="21" t="s">
        <v>34</v>
      </c>
      <c r="D9" s="33">
        <v>511.78703635253908</v>
      </c>
      <c r="E9" s="32">
        <v>243.96661666666665</v>
      </c>
    </row>
    <row r="10" spans="1:5" ht="15.75" thickBot="1" x14ac:dyDescent="0.3">
      <c r="A10" s="17" t="s">
        <v>45</v>
      </c>
      <c r="B10" s="19" t="s">
        <v>41</v>
      </c>
      <c r="C10" s="22" t="s">
        <v>40</v>
      </c>
      <c r="D10" s="33">
        <v>592.02059092675779</v>
      </c>
      <c r="E10" s="32">
        <v>174.19953333333336</v>
      </c>
    </row>
    <row r="11" spans="1:5" ht="15.75" thickBot="1" x14ac:dyDescent="0.3">
      <c r="A11" s="17" t="s">
        <v>45</v>
      </c>
      <c r="B11" s="19" t="s">
        <v>42</v>
      </c>
      <c r="C11" s="22" t="s">
        <v>40</v>
      </c>
      <c r="D11" s="33">
        <v>511.77849688085939</v>
      </c>
      <c r="E11" s="32">
        <v>245.88684999999998</v>
      </c>
    </row>
    <row r="12" spans="1:5" ht="15.75" thickBot="1" x14ac:dyDescent="0.3">
      <c r="A12" s="17" t="s">
        <v>45</v>
      </c>
      <c r="B12" s="19" t="s">
        <v>41</v>
      </c>
      <c r="C12" s="22" t="s">
        <v>35</v>
      </c>
      <c r="D12" s="33">
        <v>378.89262352832026</v>
      </c>
      <c r="E12" s="32">
        <v>154.42016666666669</v>
      </c>
    </row>
    <row r="13" spans="1:5" ht="15.75" thickBot="1" x14ac:dyDescent="0.3">
      <c r="A13" s="23" t="s">
        <v>45</v>
      </c>
      <c r="B13" s="20" t="s">
        <v>42</v>
      </c>
      <c r="C13" s="24" t="s">
        <v>35</v>
      </c>
      <c r="D13" s="35">
        <v>338.55799281054686</v>
      </c>
      <c r="E13" s="34">
        <v>239.87228333333334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20" zoomScaleNormal="120" workbookViewId="0">
      <selection activeCell="G18" sqref="G18"/>
    </sheetView>
  </sheetViews>
  <sheetFormatPr defaultRowHeight="15" x14ac:dyDescent="0.25"/>
  <cols>
    <col min="2" max="2" width="11" bestFit="1" customWidth="1"/>
    <col min="3" max="3" width="15.7109375" bestFit="1" customWidth="1"/>
    <col min="4" max="4" width="13.5703125" bestFit="1" customWidth="1"/>
    <col min="5" max="5" width="16.28515625" bestFit="1" customWidth="1"/>
  </cols>
  <sheetData>
    <row r="1" spans="1:5" ht="15.75" thickBot="1" x14ac:dyDescent="0.3">
      <c r="A1" s="15" t="s">
        <v>44</v>
      </c>
      <c r="B1" s="15" t="s">
        <v>39</v>
      </c>
      <c r="C1" s="15" t="s">
        <v>38</v>
      </c>
      <c r="D1" s="15" t="s">
        <v>60</v>
      </c>
      <c r="E1" s="15" t="s">
        <v>43</v>
      </c>
    </row>
    <row r="2" spans="1:5" ht="15.75" thickBot="1" x14ac:dyDescent="0.3">
      <c r="A2" s="17" t="s">
        <v>46</v>
      </c>
      <c r="B2" s="18" t="s">
        <v>41</v>
      </c>
      <c r="C2" s="21" t="s">
        <v>34</v>
      </c>
      <c r="D2" s="31">
        <v>244.32191852636723</v>
      </c>
      <c r="E2" s="30">
        <v>208.05214999999998</v>
      </c>
    </row>
    <row r="3" spans="1:5" ht="15.75" thickBot="1" x14ac:dyDescent="0.3">
      <c r="A3" s="17" t="s">
        <v>46</v>
      </c>
      <c r="B3" s="19" t="s">
        <v>42</v>
      </c>
      <c r="C3" s="21" t="s">
        <v>34</v>
      </c>
      <c r="D3" s="33">
        <v>481.55703196972649</v>
      </c>
      <c r="E3" s="32">
        <v>207.0460333333333</v>
      </c>
    </row>
    <row r="4" spans="1:5" ht="15.75" thickBot="1" x14ac:dyDescent="0.3">
      <c r="A4" s="17" t="s">
        <v>46</v>
      </c>
      <c r="B4" s="19" t="s">
        <v>41</v>
      </c>
      <c r="C4" s="22" t="s">
        <v>40</v>
      </c>
      <c r="D4" s="33">
        <v>430.10108984374995</v>
      </c>
      <c r="E4" s="32">
        <v>192.85600000000002</v>
      </c>
    </row>
    <row r="5" spans="1:5" ht="15.75" thickBot="1" x14ac:dyDescent="0.3">
      <c r="A5" s="17" t="s">
        <v>46</v>
      </c>
      <c r="B5" s="19" t="s">
        <v>42</v>
      </c>
      <c r="C5" s="22" t="s">
        <v>40</v>
      </c>
      <c r="D5" s="33">
        <v>541.284646484375</v>
      </c>
      <c r="E5" s="32">
        <v>245.38199999999998</v>
      </c>
    </row>
    <row r="6" spans="1:5" ht="15.75" thickBot="1" x14ac:dyDescent="0.3">
      <c r="A6" s="17" t="s">
        <v>46</v>
      </c>
      <c r="B6" s="19" t="s">
        <v>41</v>
      </c>
      <c r="C6" s="22" t="s">
        <v>35</v>
      </c>
      <c r="D6" s="33">
        <v>335.691369140625</v>
      </c>
      <c r="E6" s="32">
        <v>185.95183333333335</v>
      </c>
    </row>
    <row r="7" spans="1:5" ht="15.75" thickBot="1" x14ac:dyDescent="0.3">
      <c r="A7" s="17" t="s">
        <v>46</v>
      </c>
      <c r="B7" s="20" t="s">
        <v>42</v>
      </c>
      <c r="C7" s="22" t="s">
        <v>35</v>
      </c>
      <c r="D7" s="35">
        <v>333.64203417968753</v>
      </c>
      <c r="E7" s="34">
        <v>239.68316666666664</v>
      </c>
    </row>
    <row r="8" spans="1:5" ht="15.75" thickBot="1" x14ac:dyDescent="0.3">
      <c r="A8" s="17" t="s">
        <v>45</v>
      </c>
      <c r="B8" s="18" t="s">
        <v>41</v>
      </c>
      <c r="C8" s="21" t="s">
        <v>34</v>
      </c>
      <c r="D8" s="31">
        <v>253.57624431835936</v>
      </c>
      <c r="E8" s="30">
        <v>176.5429666666667</v>
      </c>
    </row>
    <row r="9" spans="1:5" ht="15.75" thickBot="1" x14ac:dyDescent="0.3">
      <c r="A9" s="17" t="s">
        <v>45</v>
      </c>
      <c r="B9" s="19" t="s">
        <v>42</v>
      </c>
      <c r="C9" s="21" t="s">
        <v>34</v>
      </c>
      <c r="D9" s="33">
        <v>511.78703635253908</v>
      </c>
      <c r="E9" s="32">
        <v>243.96661666666665</v>
      </c>
    </row>
    <row r="10" spans="1:5" ht="15.75" thickBot="1" x14ac:dyDescent="0.3">
      <c r="A10" s="17" t="s">
        <v>45</v>
      </c>
      <c r="B10" s="19" t="s">
        <v>41</v>
      </c>
      <c r="C10" s="22" t="s">
        <v>40</v>
      </c>
      <c r="D10" s="33">
        <v>592.02059092675779</v>
      </c>
      <c r="E10" s="32">
        <v>174.19953333333336</v>
      </c>
    </row>
    <row r="11" spans="1:5" ht="15.75" thickBot="1" x14ac:dyDescent="0.3">
      <c r="A11" s="17" t="s">
        <v>45</v>
      </c>
      <c r="B11" s="19" t="s">
        <v>42</v>
      </c>
      <c r="C11" s="22" t="s">
        <v>40</v>
      </c>
      <c r="D11" s="33">
        <v>511.77849688085939</v>
      </c>
      <c r="E11" s="32">
        <v>245.88684999999998</v>
      </c>
    </row>
    <row r="12" spans="1:5" ht="15.75" thickBot="1" x14ac:dyDescent="0.3">
      <c r="A12" s="17" t="s">
        <v>45</v>
      </c>
      <c r="B12" s="19" t="s">
        <v>41</v>
      </c>
      <c r="C12" s="22" t="s">
        <v>35</v>
      </c>
      <c r="D12" s="33">
        <v>378.89262352832026</v>
      </c>
      <c r="E12" s="32">
        <v>154.42016666666669</v>
      </c>
    </row>
    <row r="13" spans="1:5" ht="15.75" thickBot="1" x14ac:dyDescent="0.3">
      <c r="A13" s="23" t="s">
        <v>45</v>
      </c>
      <c r="B13" s="20" t="s">
        <v>42</v>
      </c>
      <c r="C13" s="24" t="s">
        <v>35</v>
      </c>
      <c r="D13" s="35">
        <v>338.55799281054686</v>
      </c>
      <c r="E13" s="34">
        <v>239.87228333333334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sqref="A1:E13"/>
    </sheetView>
  </sheetViews>
  <sheetFormatPr defaultRowHeight="15" x14ac:dyDescent="0.25"/>
  <cols>
    <col min="1" max="1" width="10.5703125" bestFit="1" customWidth="1"/>
    <col min="2" max="2" width="15.7109375" bestFit="1" customWidth="1"/>
    <col min="3" max="3" width="11" bestFit="1" customWidth="1"/>
    <col min="4" max="4" width="16.28515625" bestFit="1" customWidth="1"/>
    <col min="5" max="5" width="13.5703125" bestFit="1" customWidth="1"/>
    <col min="6" max="6" width="18.42578125" bestFit="1" customWidth="1"/>
    <col min="8" max="8" width="26.7109375" customWidth="1"/>
    <col min="9" max="9" width="16.28515625" customWidth="1"/>
    <col min="10" max="10" width="9.5703125" customWidth="1"/>
    <col min="11" max="11" width="11.28515625" customWidth="1"/>
    <col min="15" max="15" width="28.7109375" customWidth="1"/>
    <col min="16" max="16" width="16.28515625" customWidth="1"/>
    <col min="17" max="18" width="12" customWidth="1"/>
    <col min="19" max="19" width="21.42578125" bestFit="1" customWidth="1"/>
    <col min="20" max="20" width="28.5703125" bestFit="1" customWidth="1"/>
    <col min="21" max="21" width="26.42578125" bestFit="1" customWidth="1"/>
  </cols>
  <sheetData>
    <row r="1" spans="1:18" ht="15.75" thickBot="1" x14ac:dyDescent="0.3">
      <c r="A1" s="15" t="s">
        <v>44</v>
      </c>
      <c r="B1" s="15" t="s">
        <v>38</v>
      </c>
      <c r="C1" s="15" t="s">
        <v>39</v>
      </c>
      <c r="D1" s="15" t="s">
        <v>43</v>
      </c>
      <c r="E1" s="15" t="s">
        <v>60</v>
      </c>
      <c r="F1" s="28" t="s">
        <v>66</v>
      </c>
    </row>
    <row r="2" spans="1:18" ht="15.75" thickBot="1" x14ac:dyDescent="0.3">
      <c r="A2" s="17" t="s">
        <v>46</v>
      </c>
      <c r="B2" s="21" t="s">
        <v>34</v>
      </c>
      <c r="C2" s="18" t="s">
        <v>41</v>
      </c>
      <c r="D2" s="30">
        <v>208.05214999999998</v>
      </c>
      <c r="E2" s="31">
        <v>244.32191852636723</v>
      </c>
      <c r="F2" s="16">
        <f>E2/D2</f>
        <v>1.1743301788823968</v>
      </c>
      <c r="H2" s="5" t="s">
        <v>63</v>
      </c>
      <c r="I2" s="5" t="s">
        <v>64</v>
      </c>
      <c r="O2" s="5" t="s">
        <v>65</v>
      </c>
      <c r="P2" s="5" t="s">
        <v>64</v>
      </c>
    </row>
    <row r="3" spans="1:18" ht="15.75" thickBot="1" x14ac:dyDescent="0.3">
      <c r="A3" s="17" t="s">
        <v>46</v>
      </c>
      <c r="B3" s="21" t="s">
        <v>34</v>
      </c>
      <c r="C3" s="19" t="s">
        <v>42</v>
      </c>
      <c r="D3" s="32">
        <v>207.0460333333333</v>
      </c>
      <c r="E3" s="33">
        <v>481.55703196972649</v>
      </c>
      <c r="F3" s="16">
        <f t="shared" ref="F3:F13" si="0">E3/D3</f>
        <v>2.3258452442527351</v>
      </c>
      <c r="H3" s="5" t="s">
        <v>32</v>
      </c>
      <c r="I3" t="s">
        <v>46</v>
      </c>
      <c r="J3" t="s">
        <v>45</v>
      </c>
      <c r="K3" t="s">
        <v>33</v>
      </c>
      <c r="O3" s="5" t="s">
        <v>32</v>
      </c>
      <c r="P3" t="s">
        <v>46</v>
      </c>
      <c r="Q3" t="s">
        <v>45</v>
      </c>
      <c r="R3" t="s">
        <v>33</v>
      </c>
    </row>
    <row r="4" spans="1:18" ht="15.75" thickBot="1" x14ac:dyDescent="0.3">
      <c r="A4" s="17" t="s">
        <v>46</v>
      </c>
      <c r="B4" s="22" t="s">
        <v>40</v>
      </c>
      <c r="C4" s="19" t="s">
        <v>41</v>
      </c>
      <c r="D4" s="32">
        <v>192.85600000000002</v>
      </c>
      <c r="E4" s="33">
        <v>430.10108984374995</v>
      </c>
      <c r="F4" s="16">
        <f t="shared" si="0"/>
        <v>2.2301670149943478</v>
      </c>
      <c r="H4" s="6" t="s">
        <v>34</v>
      </c>
      <c r="I4" s="26">
        <v>207.54909166666664</v>
      </c>
      <c r="J4" s="26">
        <v>210.25479166666668</v>
      </c>
      <c r="K4" s="26">
        <v>208.90194166666666</v>
      </c>
      <c r="O4" s="6" t="s">
        <v>34</v>
      </c>
      <c r="P4" s="26">
        <v>362.93947524804685</v>
      </c>
      <c r="Q4" s="26">
        <v>382.68164033544923</v>
      </c>
      <c r="R4" s="26">
        <v>372.81055779174801</v>
      </c>
    </row>
    <row r="5" spans="1:18" ht="15.75" thickBot="1" x14ac:dyDescent="0.3">
      <c r="A5" s="17" t="s">
        <v>46</v>
      </c>
      <c r="B5" s="22" t="s">
        <v>40</v>
      </c>
      <c r="C5" s="19" t="s">
        <v>42</v>
      </c>
      <c r="D5" s="32">
        <v>245.38199999999998</v>
      </c>
      <c r="E5" s="33">
        <v>541.284646484375</v>
      </c>
      <c r="F5" s="16">
        <f t="shared" si="0"/>
        <v>2.2058857067118822</v>
      </c>
      <c r="H5" s="25" t="s">
        <v>41</v>
      </c>
      <c r="I5" s="26">
        <v>208.05214999999998</v>
      </c>
      <c r="J5" s="26">
        <v>176.5429666666667</v>
      </c>
      <c r="K5" s="26">
        <v>192.29755833333334</v>
      </c>
      <c r="O5" s="25" t="s">
        <v>41</v>
      </c>
      <c r="P5" s="26">
        <v>244.32191852636723</v>
      </c>
      <c r="Q5" s="26">
        <v>253.57624431835936</v>
      </c>
      <c r="R5" s="26">
        <v>248.94908142236329</v>
      </c>
    </row>
    <row r="6" spans="1:18" ht="15.75" thickBot="1" x14ac:dyDescent="0.3">
      <c r="A6" s="17" t="s">
        <v>46</v>
      </c>
      <c r="B6" s="22" t="s">
        <v>35</v>
      </c>
      <c r="C6" s="19" t="s">
        <v>41</v>
      </c>
      <c r="D6" s="32">
        <v>185.95183333333335</v>
      </c>
      <c r="E6" s="33">
        <v>335.691369140625</v>
      </c>
      <c r="F6" s="16">
        <f t="shared" si="0"/>
        <v>1.8052597983203085</v>
      </c>
      <c r="H6" s="25" t="s">
        <v>42</v>
      </c>
      <c r="I6" s="26">
        <v>207.0460333333333</v>
      </c>
      <c r="J6" s="26">
        <v>243.96661666666665</v>
      </c>
      <c r="K6" s="26">
        <v>225.50632499999998</v>
      </c>
      <c r="O6" s="27" t="s">
        <v>42</v>
      </c>
      <c r="P6" s="26">
        <v>481.55703196972649</v>
      </c>
      <c r="Q6" s="26">
        <v>511.78703635253908</v>
      </c>
      <c r="R6" s="26">
        <v>496.67203416113279</v>
      </c>
    </row>
    <row r="7" spans="1:18" ht="15.75" thickBot="1" x14ac:dyDescent="0.3">
      <c r="A7" s="17" t="s">
        <v>46</v>
      </c>
      <c r="B7" s="22" t="s">
        <v>35</v>
      </c>
      <c r="C7" s="20" t="s">
        <v>42</v>
      </c>
      <c r="D7" s="34">
        <v>239.68316666666664</v>
      </c>
      <c r="E7" s="35">
        <v>333.64203417968753</v>
      </c>
      <c r="F7" s="16">
        <f t="shared" si="0"/>
        <v>1.3920127926367554</v>
      </c>
      <c r="H7" s="6" t="s">
        <v>36</v>
      </c>
      <c r="I7" s="26">
        <v>219.119</v>
      </c>
      <c r="J7" s="26">
        <v>210.04319166666667</v>
      </c>
      <c r="K7" s="26">
        <v>214.58109583333334</v>
      </c>
      <c r="O7" s="6" t="s">
        <v>36</v>
      </c>
      <c r="P7" s="26">
        <v>485.69286816406247</v>
      </c>
      <c r="Q7" s="26">
        <v>551.89954390380854</v>
      </c>
      <c r="R7" s="26">
        <v>518.7962060339355</v>
      </c>
    </row>
    <row r="8" spans="1:18" ht="15.75" thickBot="1" x14ac:dyDescent="0.3">
      <c r="A8" s="17" t="s">
        <v>45</v>
      </c>
      <c r="B8" s="21" t="s">
        <v>34</v>
      </c>
      <c r="C8" s="18" t="s">
        <v>41</v>
      </c>
      <c r="D8" s="30">
        <v>176.5429666666667</v>
      </c>
      <c r="E8" s="31">
        <v>253.57624431835936</v>
      </c>
      <c r="F8" s="16">
        <f t="shared" si="0"/>
        <v>1.4363429430589567</v>
      </c>
      <c r="H8" s="25" t="s">
        <v>41</v>
      </c>
      <c r="I8" s="26">
        <v>192.85600000000002</v>
      </c>
      <c r="J8" s="26">
        <v>174.19953333333336</v>
      </c>
      <c r="K8" s="26">
        <v>183.52776666666671</v>
      </c>
      <c r="O8" s="25" t="s">
        <v>41</v>
      </c>
      <c r="P8" s="26">
        <v>430.10108984374995</v>
      </c>
      <c r="Q8" s="26">
        <v>592.02059092675779</v>
      </c>
      <c r="R8" s="26">
        <v>511.06084038525387</v>
      </c>
    </row>
    <row r="9" spans="1:18" ht="15.75" thickBot="1" x14ac:dyDescent="0.3">
      <c r="A9" s="17" t="s">
        <v>45</v>
      </c>
      <c r="B9" s="21" t="s">
        <v>34</v>
      </c>
      <c r="C9" s="19" t="s">
        <v>42</v>
      </c>
      <c r="D9" s="32">
        <v>243.96661666666665</v>
      </c>
      <c r="E9" s="33">
        <v>511.78703635253908</v>
      </c>
      <c r="F9" s="16">
        <f t="shared" si="0"/>
        <v>2.0977748650414636</v>
      </c>
      <c r="H9" s="25" t="s">
        <v>42</v>
      </c>
      <c r="I9" s="26">
        <v>245.38199999999998</v>
      </c>
      <c r="J9" s="26">
        <v>245.88684999999998</v>
      </c>
      <c r="K9" s="26">
        <v>245.63442499999996</v>
      </c>
      <c r="O9" s="27" t="s">
        <v>42</v>
      </c>
      <c r="P9" s="26">
        <v>541.284646484375</v>
      </c>
      <c r="Q9" s="26">
        <v>511.77849688085939</v>
      </c>
      <c r="R9" s="26">
        <v>526.53157168261714</v>
      </c>
    </row>
    <row r="10" spans="1:18" ht="15.75" thickBot="1" x14ac:dyDescent="0.3">
      <c r="A10" s="17" t="s">
        <v>45</v>
      </c>
      <c r="B10" s="22" t="s">
        <v>40</v>
      </c>
      <c r="C10" s="19" t="s">
        <v>41</v>
      </c>
      <c r="D10" s="32">
        <v>174.19953333333336</v>
      </c>
      <c r="E10" s="33">
        <v>592.02059092675779</v>
      </c>
      <c r="F10" s="16">
        <f t="shared" si="0"/>
        <v>3.3985199592579716</v>
      </c>
      <c r="H10" s="6" t="s">
        <v>35</v>
      </c>
      <c r="I10" s="26">
        <v>212.8175</v>
      </c>
      <c r="J10" s="26">
        <v>197.14622500000002</v>
      </c>
      <c r="K10" s="26">
        <v>204.98186250000001</v>
      </c>
      <c r="O10" s="6" t="s">
        <v>35</v>
      </c>
      <c r="P10" s="26">
        <v>334.66670166015626</v>
      </c>
      <c r="Q10" s="26">
        <v>358.72530816943356</v>
      </c>
      <c r="R10" s="26">
        <v>346.69600491479491</v>
      </c>
    </row>
    <row r="11" spans="1:18" ht="15.75" thickBot="1" x14ac:dyDescent="0.3">
      <c r="A11" s="17" t="s">
        <v>45</v>
      </c>
      <c r="B11" s="22" t="s">
        <v>40</v>
      </c>
      <c r="C11" s="19" t="s">
        <v>42</v>
      </c>
      <c r="D11" s="32">
        <v>245.88684999999998</v>
      </c>
      <c r="E11" s="33">
        <v>511.77849688085939</v>
      </c>
      <c r="F11" s="16">
        <f t="shared" si="0"/>
        <v>2.08135773377413</v>
      </c>
      <c r="H11" s="25" t="s">
        <v>41</v>
      </c>
      <c r="I11" s="26">
        <v>185.95183333333335</v>
      </c>
      <c r="J11" s="26">
        <v>154.42016666666669</v>
      </c>
      <c r="K11" s="26">
        <v>170.18600000000004</v>
      </c>
      <c r="O11" s="25" t="s">
        <v>41</v>
      </c>
      <c r="P11" s="26">
        <v>335.691369140625</v>
      </c>
      <c r="Q11" s="26">
        <v>378.89262352832026</v>
      </c>
      <c r="R11" s="26">
        <v>357.29199633447263</v>
      </c>
    </row>
    <row r="12" spans="1:18" ht="15.75" thickBot="1" x14ac:dyDescent="0.3">
      <c r="A12" s="17" t="s">
        <v>45</v>
      </c>
      <c r="B12" s="22" t="s">
        <v>35</v>
      </c>
      <c r="C12" s="19" t="s">
        <v>41</v>
      </c>
      <c r="D12" s="32">
        <v>154.42016666666669</v>
      </c>
      <c r="E12" s="33">
        <v>378.89262352832026</v>
      </c>
      <c r="F12" s="16">
        <f t="shared" si="0"/>
        <v>2.4536472904229059</v>
      </c>
      <c r="H12" s="25" t="s">
        <v>42</v>
      </c>
      <c r="I12" s="26">
        <v>239.68316666666664</v>
      </c>
      <c r="J12" s="26">
        <v>239.87228333333334</v>
      </c>
      <c r="K12" s="26">
        <v>239.77772499999998</v>
      </c>
      <c r="O12" s="27" t="s">
        <v>42</v>
      </c>
      <c r="P12" s="26">
        <v>333.64203417968753</v>
      </c>
      <c r="Q12" s="26">
        <v>338.55799281054686</v>
      </c>
      <c r="R12" s="26">
        <v>336.1000134951172</v>
      </c>
    </row>
    <row r="13" spans="1:18" ht="15.75" thickBot="1" x14ac:dyDescent="0.3">
      <c r="A13" s="23" t="s">
        <v>45</v>
      </c>
      <c r="B13" s="24" t="s">
        <v>35</v>
      </c>
      <c r="C13" s="20" t="s">
        <v>42</v>
      </c>
      <c r="D13" s="34">
        <v>239.87228333333334</v>
      </c>
      <c r="E13" s="35">
        <v>338.55799281054686</v>
      </c>
      <c r="F13" s="16">
        <f t="shared" si="0"/>
        <v>1.4114093888041124</v>
      </c>
      <c r="H13" s="6" t="s">
        <v>33</v>
      </c>
      <c r="I13" s="26">
        <v>213.16186388888889</v>
      </c>
      <c r="J13" s="26">
        <v>205.8147361111111</v>
      </c>
      <c r="K13" s="26">
        <v>209.48830000000001</v>
      </c>
      <c r="O13" s="6" t="s">
        <v>33</v>
      </c>
      <c r="P13" s="26">
        <v>394.43301502408855</v>
      </c>
      <c r="Q13" s="26">
        <v>431.10216413623044</v>
      </c>
      <c r="R13" s="26">
        <v>412.76758958015949</v>
      </c>
    </row>
    <row r="16" spans="1:18" x14ac:dyDescent="0.25">
      <c r="O16" s="5" t="s">
        <v>67</v>
      </c>
      <c r="P16" s="5" t="s">
        <v>64</v>
      </c>
    </row>
    <row r="17" spans="15:18" x14ac:dyDescent="0.25">
      <c r="O17" s="5" t="s">
        <v>32</v>
      </c>
      <c r="P17" t="s">
        <v>46</v>
      </c>
      <c r="Q17" t="s">
        <v>45</v>
      </c>
      <c r="R17" t="s">
        <v>33</v>
      </c>
    </row>
    <row r="18" spans="15:18" x14ac:dyDescent="0.25">
      <c r="O18" s="6" t="s">
        <v>34</v>
      </c>
      <c r="P18" s="29">
        <v>1.7500877115675659</v>
      </c>
      <c r="Q18" s="29">
        <v>1.7670589040502103</v>
      </c>
      <c r="R18" s="29">
        <v>1.7585733078088879</v>
      </c>
    </row>
    <row r="19" spans="15:18" x14ac:dyDescent="0.25">
      <c r="O19" s="25" t="s">
        <v>41</v>
      </c>
      <c r="P19" s="29">
        <v>1.1743301788823968</v>
      </c>
      <c r="Q19" s="29">
        <v>1.4363429430589567</v>
      </c>
      <c r="R19" s="29">
        <v>1.3053365609706766</v>
      </c>
    </row>
    <row r="20" spans="15:18" x14ac:dyDescent="0.25">
      <c r="O20" s="25" t="s">
        <v>42</v>
      </c>
      <c r="P20" s="29">
        <v>2.3258452442527351</v>
      </c>
      <c r="Q20" s="29">
        <v>2.0977748650414636</v>
      </c>
      <c r="R20" s="29">
        <v>2.2118100546470991</v>
      </c>
    </row>
    <row r="21" spans="15:18" x14ac:dyDescent="0.25">
      <c r="O21" s="6" t="s">
        <v>40</v>
      </c>
      <c r="P21" s="29">
        <v>2.218026360853115</v>
      </c>
      <c r="Q21" s="29">
        <v>2.7399388465160506</v>
      </c>
      <c r="R21" s="29">
        <v>2.478982603684583</v>
      </c>
    </row>
    <row r="22" spans="15:18" x14ac:dyDescent="0.25">
      <c r="O22" s="25" t="s">
        <v>41</v>
      </c>
      <c r="P22" s="29">
        <v>2.2301670149943478</v>
      </c>
      <c r="Q22" s="29">
        <v>3.3985199592579716</v>
      </c>
      <c r="R22" s="29">
        <v>2.8143434871261599</v>
      </c>
    </row>
    <row r="23" spans="15:18" x14ac:dyDescent="0.25">
      <c r="O23" s="25" t="s">
        <v>42</v>
      </c>
      <c r="P23" s="29">
        <v>2.2058857067118822</v>
      </c>
      <c r="Q23" s="29">
        <v>2.08135773377413</v>
      </c>
      <c r="R23" s="29">
        <v>2.1436217202430061</v>
      </c>
    </row>
    <row r="24" spans="15:18" x14ac:dyDescent="0.25">
      <c r="O24" s="6" t="s">
        <v>35</v>
      </c>
      <c r="P24" s="29">
        <v>1.5986362954785318</v>
      </c>
      <c r="Q24" s="29">
        <v>1.9325283396135091</v>
      </c>
      <c r="R24" s="29">
        <v>1.7655823175460206</v>
      </c>
    </row>
    <row r="25" spans="15:18" x14ac:dyDescent="0.25">
      <c r="O25" s="25" t="s">
        <v>41</v>
      </c>
      <c r="P25" s="29">
        <v>1.8052597983203085</v>
      </c>
      <c r="Q25" s="29">
        <v>2.4536472904229059</v>
      </c>
      <c r="R25" s="29">
        <v>2.1294535443716072</v>
      </c>
    </row>
    <row r="26" spans="15:18" x14ac:dyDescent="0.25">
      <c r="O26" s="25" t="s">
        <v>42</v>
      </c>
      <c r="P26" s="29">
        <v>1.3920127926367554</v>
      </c>
      <c r="Q26" s="29">
        <v>1.4114093888041124</v>
      </c>
      <c r="R26" s="29">
        <v>1.401711090720434</v>
      </c>
    </row>
    <row r="27" spans="15:18" x14ac:dyDescent="0.25">
      <c r="O27" s="6" t="s">
        <v>33</v>
      </c>
      <c r="P27" s="29">
        <v>1.8555834559664044</v>
      </c>
      <c r="Q27" s="29">
        <v>2.1465086967265901</v>
      </c>
      <c r="R27" s="29">
        <v>2.0010460763464972</v>
      </c>
    </row>
  </sheetData>
  <pageMargins left="0.7" right="0.7" top="0.75" bottom="0.75" header="0.3" footer="0.3"/>
  <pageSetup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workbookViewId="0">
      <selection activeCell="E24" sqref="E24"/>
    </sheetView>
  </sheetViews>
  <sheetFormatPr defaultRowHeight="15" x14ac:dyDescent="0.25"/>
  <cols>
    <col min="1" max="1" width="27.42578125" bestFit="1" customWidth="1"/>
    <col min="2" max="2" width="10" bestFit="1" customWidth="1"/>
    <col min="3" max="3" width="10.140625" bestFit="1" customWidth="1"/>
    <col min="4" max="4" width="15.7109375" bestFit="1" customWidth="1"/>
    <col min="5" max="5" width="13.42578125" bestFit="1" customWidth="1"/>
    <col min="6" max="6" width="14" bestFit="1" customWidth="1"/>
    <col min="7" max="7" width="15.7109375" bestFit="1" customWidth="1"/>
    <col min="8" max="8" width="22.28515625" customWidth="1"/>
  </cols>
  <sheetData>
    <row r="1" spans="1:8" x14ac:dyDescent="0.25">
      <c r="A1" s="3" t="s">
        <v>28</v>
      </c>
      <c r="B1" s="1"/>
      <c r="C1" s="1"/>
      <c r="D1" s="1"/>
      <c r="E1" s="1"/>
      <c r="F1" s="1"/>
      <c r="G1" s="1"/>
      <c r="H1" s="36" t="s">
        <v>31</v>
      </c>
    </row>
    <row r="2" spans="1:8" x14ac:dyDescent="0.25">
      <c r="A2" s="4" t="s">
        <v>0</v>
      </c>
      <c r="B2" s="4" t="s">
        <v>25</v>
      </c>
      <c r="C2" s="4" t="s">
        <v>26</v>
      </c>
      <c r="D2" s="8" t="s">
        <v>61</v>
      </c>
      <c r="E2" s="4" t="s">
        <v>24</v>
      </c>
      <c r="F2" s="4" t="s">
        <v>27</v>
      </c>
      <c r="G2" s="8" t="s">
        <v>62</v>
      </c>
      <c r="H2" s="36"/>
    </row>
    <row r="3" spans="1:8" x14ac:dyDescent="0.25">
      <c r="A3" s="1" t="s">
        <v>1</v>
      </c>
      <c r="B3" s="2">
        <v>50.55</v>
      </c>
      <c r="C3" s="2">
        <f>B3/60</f>
        <v>0.84249999999999992</v>
      </c>
      <c r="D3" s="2">
        <f>133218232/(1000*1000)</f>
        <v>133.218232</v>
      </c>
      <c r="E3" s="2">
        <v>84.001000000000005</v>
      </c>
      <c r="F3" s="2">
        <f>E3/60</f>
        <v>1.4000166666666667</v>
      </c>
      <c r="G3" s="2">
        <f>344149697/(1000*1000)</f>
        <v>344.149697</v>
      </c>
      <c r="H3" s="2">
        <f>((B3*100)/E3)-100</f>
        <v>-39.822144974464592</v>
      </c>
    </row>
    <row r="4" spans="1:8" x14ac:dyDescent="0.25">
      <c r="A4" s="1" t="s">
        <v>2</v>
      </c>
      <c r="B4" s="2">
        <v>34.695999999999998</v>
      </c>
      <c r="C4" s="2">
        <f>B4/60</f>
        <v>0.5782666666666666</v>
      </c>
      <c r="D4" s="2">
        <f>28799999/(1000*1000)</f>
        <v>28.799999</v>
      </c>
      <c r="E4" s="2">
        <v>50.505000000000003</v>
      </c>
      <c r="F4" s="2">
        <f t="shared" ref="F4:F25" si="0">E4/60</f>
        <v>0.84175</v>
      </c>
      <c r="G4" s="2">
        <f>74794780/(1000*1000)</f>
        <v>74.794780000000003</v>
      </c>
      <c r="H4" s="2">
        <f t="shared" ref="H4:H25" si="1">((B4*100)/E4)-100</f>
        <v>-31.3018513018513</v>
      </c>
    </row>
    <row r="5" spans="1:8" x14ac:dyDescent="0.25">
      <c r="A5" s="1" t="s">
        <v>3</v>
      </c>
      <c r="B5" s="2">
        <v>21.452000000000002</v>
      </c>
      <c r="C5" s="2">
        <f t="shared" ref="C5:C25" si="2">B5/60</f>
        <v>0.35753333333333337</v>
      </c>
      <c r="D5" s="2">
        <f>7167503/(1000*1000)</f>
        <v>7.167503</v>
      </c>
      <c r="E5" s="2">
        <v>23.498000000000001</v>
      </c>
      <c r="F5" s="2">
        <f t="shared" si="0"/>
        <v>0.39163333333333333</v>
      </c>
      <c r="G5" s="2">
        <f>22130618/(1000*1000)</f>
        <v>22.130617999999998</v>
      </c>
      <c r="H5" s="2">
        <f t="shared" si="1"/>
        <v>-8.7071240105540824</v>
      </c>
    </row>
    <row r="6" spans="1:8" x14ac:dyDescent="0.25">
      <c r="A6" s="1" t="s">
        <v>4</v>
      </c>
      <c r="B6" s="2">
        <v>15.132</v>
      </c>
      <c r="C6" s="2">
        <f t="shared" si="2"/>
        <v>0.25219999999999998</v>
      </c>
      <c r="D6" s="2">
        <f>1748955/(1000*1000)</f>
        <v>1.748955</v>
      </c>
      <c r="E6" s="2">
        <v>16.064</v>
      </c>
      <c r="F6" s="2">
        <f t="shared" si="0"/>
        <v>0.26773333333333332</v>
      </c>
      <c r="G6" s="2">
        <f>7125387/(1000*1000)</f>
        <v>7.1253869999999999</v>
      </c>
      <c r="H6" s="2">
        <f t="shared" si="1"/>
        <v>-5.8017928286852509</v>
      </c>
    </row>
    <row r="7" spans="1:8" x14ac:dyDescent="0.25">
      <c r="A7" s="1" t="s">
        <v>5</v>
      </c>
      <c r="B7" s="2">
        <v>15.042999999999999</v>
      </c>
      <c r="C7" s="2">
        <f t="shared" si="2"/>
        <v>0.25071666666666664</v>
      </c>
      <c r="D7" s="2">
        <f>14655/(1000*1000)</f>
        <v>1.4655E-2</v>
      </c>
      <c r="E7" s="2">
        <v>15.445</v>
      </c>
      <c r="F7" s="2">
        <f t="shared" si="0"/>
        <v>0.25741666666666668</v>
      </c>
      <c r="G7" s="2">
        <f>72317/(1000*1000)</f>
        <v>7.2317000000000006E-2</v>
      </c>
      <c r="H7" s="2">
        <f t="shared" si="1"/>
        <v>-2.6027840725153766</v>
      </c>
    </row>
    <row r="8" spans="1:8" x14ac:dyDescent="0.25">
      <c r="A8" s="1" t="s">
        <v>6</v>
      </c>
      <c r="B8" s="2">
        <v>27.102</v>
      </c>
      <c r="C8" s="2">
        <f t="shared" si="2"/>
        <v>0.45169999999999999</v>
      </c>
      <c r="D8" s="2">
        <f>1000/(1000*1000)</f>
        <v>1E-3</v>
      </c>
      <c r="E8" s="2">
        <v>29.963999999999999</v>
      </c>
      <c r="F8" s="2">
        <f t="shared" si="0"/>
        <v>0.49939999999999996</v>
      </c>
      <c r="G8" s="2">
        <f>806/(1000*1000)</f>
        <v>8.0599999999999997E-4</v>
      </c>
      <c r="H8" s="2">
        <f t="shared" si="1"/>
        <v>-9.5514617541049347</v>
      </c>
    </row>
    <row r="9" spans="1:8" x14ac:dyDescent="0.25">
      <c r="A9" s="1" t="s">
        <v>8</v>
      </c>
      <c r="B9" s="2">
        <v>33.411999999999999</v>
      </c>
      <c r="C9" s="2">
        <f t="shared" ref="C9:C17" si="3">B9/60</f>
        <v>0.55686666666666662</v>
      </c>
      <c r="D9" s="2">
        <f>83226730/(1000*1000)</f>
        <v>83.226730000000003</v>
      </c>
      <c r="E9" s="2">
        <v>44.113</v>
      </c>
      <c r="F9" s="2">
        <f t="shared" ref="F9:F17" si="4">E9/60</f>
        <v>0.73521666666666663</v>
      </c>
      <c r="G9" s="2">
        <f>198121533/(1000*1000)</f>
        <v>198.121533</v>
      </c>
      <c r="H9" s="2">
        <f t="shared" ref="H9:H17" si="5">((B9*100)/E9)-100</f>
        <v>-24.258155192346933</v>
      </c>
    </row>
    <row r="10" spans="1:8" x14ac:dyDescent="0.25">
      <c r="A10" s="1" t="s">
        <v>11</v>
      </c>
      <c r="B10" s="2">
        <v>26.954999999999998</v>
      </c>
      <c r="C10" s="2">
        <f t="shared" si="3"/>
        <v>0.44924999999999998</v>
      </c>
      <c r="D10" s="2">
        <f>249830/(1000*1000)</f>
        <v>0.24983</v>
      </c>
      <c r="E10" s="2">
        <v>29.492999999999999</v>
      </c>
      <c r="F10" s="2">
        <f t="shared" si="4"/>
        <v>0.49154999999999999</v>
      </c>
      <c r="G10" s="2">
        <f>901557/(1000*1000)</f>
        <v>0.90155700000000005</v>
      </c>
      <c r="H10" s="2">
        <f t="shared" si="5"/>
        <v>-8.605431797375644</v>
      </c>
    </row>
    <row r="11" spans="1:8" x14ac:dyDescent="0.25">
      <c r="A11" s="1" t="s">
        <v>12</v>
      </c>
      <c r="B11" s="2">
        <v>39.401000000000003</v>
      </c>
      <c r="C11" s="2">
        <f t="shared" si="3"/>
        <v>0.6566833333333334</v>
      </c>
      <c r="D11" s="2">
        <f>27147/(1000*1000)</f>
        <v>2.7147000000000001E-2</v>
      </c>
      <c r="E11" s="2">
        <v>28.306000000000001</v>
      </c>
      <c r="F11" s="2">
        <f t="shared" si="4"/>
        <v>0.47176666666666667</v>
      </c>
      <c r="G11" s="2">
        <f>79243/(1000*1000)</f>
        <v>7.9242999999999994E-2</v>
      </c>
      <c r="H11" s="2">
        <f t="shared" si="5"/>
        <v>39.196636755458229</v>
      </c>
    </row>
    <row r="12" spans="1:8" x14ac:dyDescent="0.25">
      <c r="A12" s="1" t="s">
        <v>13</v>
      </c>
      <c r="B12" s="2">
        <v>26.013999999999999</v>
      </c>
      <c r="C12" s="2">
        <f t="shared" si="3"/>
        <v>0.43356666666666666</v>
      </c>
      <c r="D12" s="2">
        <f>3537/(1000*1000)</f>
        <v>3.5370000000000002E-3</v>
      </c>
      <c r="E12" s="2">
        <v>29.472999999999999</v>
      </c>
      <c r="F12" s="2">
        <f t="shared" si="4"/>
        <v>0.49121666666666663</v>
      </c>
      <c r="G12" s="2">
        <f>2593/(1000*1000)</f>
        <v>2.5929999999999998E-3</v>
      </c>
      <c r="H12" s="2">
        <f t="shared" si="5"/>
        <v>-11.73616530383741</v>
      </c>
    </row>
    <row r="13" spans="1:8" x14ac:dyDescent="0.25">
      <c r="A13" s="1" t="s">
        <v>14</v>
      </c>
      <c r="B13" s="2">
        <v>27.05</v>
      </c>
      <c r="C13" s="2">
        <f t="shared" si="3"/>
        <v>0.45083333333333336</v>
      </c>
      <c r="D13" s="2">
        <f>51463/(1000*1000)</f>
        <v>5.1463000000000002E-2</v>
      </c>
      <c r="E13" s="2">
        <v>29.459</v>
      </c>
      <c r="F13" s="2">
        <f t="shared" si="4"/>
        <v>0.49098333333333333</v>
      </c>
      <c r="G13" s="2">
        <f>120876/(1000*1000)</f>
        <v>0.120876</v>
      </c>
      <c r="H13" s="2">
        <f t="shared" si="5"/>
        <v>-8.1774669880172439</v>
      </c>
    </row>
    <row r="14" spans="1:8" x14ac:dyDescent="0.25">
      <c r="A14" s="1" t="s">
        <v>17</v>
      </c>
      <c r="B14" s="2">
        <v>13.852</v>
      </c>
      <c r="C14" s="2">
        <f t="shared" si="3"/>
        <v>0.23086666666666666</v>
      </c>
      <c r="D14" s="2">
        <f>224757/(1000*1000)</f>
        <v>0.22475700000000001</v>
      </c>
      <c r="E14" s="2">
        <v>13.855</v>
      </c>
      <c r="F14" s="2">
        <f t="shared" si="4"/>
        <v>0.23091666666666669</v>
      </c>
      <c r="G14" s="2">
        <f>2835043/(1000*1000)</f>
        <v>2.8350430000000002</v>
      </c>
      <c r="H14" s="2">
        <f t="shared" si="5"/>
        <v>-2.165283291230935E-2</v>
      </c>
    </row>
    <row r="15" spans="1:8" x14ac:dyDescent="0.25">
      <c r="A15" s="1" t="s">
        <v>18</v>
      </c>
      <c r="B15" s="2">
        <v>27.097000000000001</v>
      </c>
      <c r="C15" s="2">
        <f t="shared" si="3"/>
        <v>0.45161666666666667</v>
      </c>
      <c r="D15" s="2">
        <f>6222/(1000*1000)</f>
        <v>6.2220000000000001E-3</v>
      </c>
      <c r="E15" s="2">
        <v>28.449000000000002</v>
      </c>
      <c r="F15" s="2">
        <f t="shared" si="4"/>
        <v>0.47415000000000002</v>
      </c>
      <c r="G15" s="2">
        <f>5671/(1000*1000)</f>
        <v>5.6709999999999998E-3</v>
      </c>
      <c r="H15" s="2">
        <f t="shared" si="5"/>
        <v>-4.7523638792224574</v>
      </c>
    </row>
    <row r="16" spans="1:8" x14ac:dyDescent="0.25">
      <c r="A16" s="1" t="s">
        <v>23</v>
      </c>
      <c r="B16" s="2">
        <v>27.044</v>
      </c>
      <c r="C16" s="2">
        <f t="shared" si="3"/>
        <v>0.45073333333333332</v>
      </c>
      <c r="D16" s="2">
        <f>14130/(1000*1000)</f>
        <v>1.413E-2</v>
      </c>
      <c r="E16" s="2">
        <v>29.388000000000002</v>
      </c>
      <c r="F16" s="2">
        <f t="shared" si="4"/>
        <v>0.48980000000000001</v>
      </c>
      <c r="G16" s="2">
        <f>14626/(1000*1000)</f>
        <v>1.4626E-2</v>
      </c>
      <c r="H16" s="2">
        <f t="shared" si="5"/>
        <v>-7.9760446440724166</v>
      </c>
    </row>
    <row r="17" spans="1:8" x14ac:dyDescent="0.25">
      <c r="A17" s="1" t="s">
        <v>20</v>
      </c>
      <c r="B17" s="2">
        <v>27.062000000000001</v>
      </c>
      <c r="C17" s="2">
        <f t="shared" si="3"/>
        <v>0.45103333333333334</v>
      </c>
      <c r="D17" s="2">
        <f>63472/(1000*1000)</f>
        <v>6.3472000000000001E-2</v>
      </c>
      <c r="E17" s="2">
        <v>29.393000000000001</v>
      </c>
      <c r="F17" s="2">
        <f t="shared" si="4"/>
        <v>0.48988333333333334</v>
      </c>
      <c r="G17" s="2">
        <f>139773/(1000*1000)</f>
        <v>0.13977300000000001</v>
      </c>
      <c r="H17" s="2">
        <f t="shared" si="5"/>
        <v>-7.9304596332460022</v>
      </c>
    </row>
    <row r="18" spans="1:8" x14ac:dyDescent="0.25">
      <c r="A18" s="1" t="s">
        <v>7</v>
      </c>
      <c r="B18" s="2">
        <v>582.99</v>
      </c>
      <c r="C18" s="2">
        <f t="shared" si="2"/>
        <v>9.7164999999999999</v>
      </c>
      <c r="D18" s="2">
        <f>5962543593/(1000*1000)</f>
        <v>5962.5435930000003</v>
      </c>
      <c r="E18" s="2">
        <v>1024.5830000000001</v>
      </c>
      <c r="F18" s="2">
        <f t="shared" si="0"/>
        <v>17.076383333333336</v>
      </c>
      <c r="G18" s="2">
        <f>35864482897/(1000*1000)</f>
        <v>35864.482897000002</v>
      </c>
      <c r="H18" s="2">
        <f t="shared" si="1"/>
        <v>-43.099778153648856</v>
      </c>
    </row>
    <row r="19" spans="1:8" x14ac:dyDescent="0.25">
      <c r="A19" s="1" t="s">
        <v>16</v>
      </c>
      <c r="B19" s="2">
        <v>1757.954</v>
      </c>
      <c r="C19" s="2">
        <f>B19/60</f>
        <v>29.299233333333333</v>
      </c>
      <c r="D19" s="2">
        <f>61441562768/(1000*1000)</f>
        <v>61441.562768000003</v>
      </c>
      <c r="E19" s="2">
        <v>2512.2350000000001</v>
      </c>
      <c r="F19" s="2">
        <f>E19/60</f>
        <v>41.870583333333336</v>
      </c>
      <c r="G19" s="2">
        <f>117996498481/(1000*1000)</f>
        <v>117996.498481</v>
      </c>
      <c r="H19" s="2">
        <f>((B19*100)/E19)-100</f>
        <v>-30.024301070560682</v>
      </c>
    </row>
    <row r="20" spans="1:8" x14ac:dyDescent="0.25">
      <c r="A20" s="1" t="s">
        <v>15</v>
      </c>
      <c r="B20" s="2">
        <v>119.849</v>
      </c>
      <c r="C20" s="2">
        <f>B20/60</f>
        <v>1.9974833333333335</v>
      </c>
      <c r="D20" s="2">
        <f>3151011692/(1000*1000)</f>
        <v>3151.011692</v>
      </c>
      <c r="E20" s="2">
        <v>186.637</v>
      </c>
      <c r="F20" s="2">
        <f>E20/60</f>
        <v>3.1106166666666666</v>
      </c>
      <c r="G20" s="2">
        <f>6554743190/(1000*1000)</f>
        <v>6554.7431900000001</v>
      </c>
      <c r="H20" s="2">
        <f>((B20*100)/E20)-100</f>
        <v>-35.784972968918282</v>
      </c>
    </row>
    <row r="21" spans="1:8" x14ac:dyDescent="0.25">
      <c r="A21" s="1" t="s">
        <v>22</v>
      </c>
      <c r="B21" s="2">
        <v>2448.2510000000002</v>
      </c>
      <c r="C21" s="2">
        <f>B21/60</f>
        <v>40.804183333333334</v>
      </c>
      <c r="D21" s="2">
        <f>85008066509/(1000*1000)</f>
        <v>85008.066508999997</v>
      </c>
      <c r="E21" s="2">
        <v>3602.5859999999998</v>
      </c>
      <c r="F21" s="2">
        <f>E21/60</f>
        <v>60.043099999999995</v>
      </c>
      <c r="G21" s="2">
        <f>159372408081/(1000*1000)</f>
        <v>159372.408081</v>
      </c>
      <c r="H21" s="2">
        <f>((B21*100)/E21)-100</f>
        <v>-32.041844386226984</v>
      </c>
    </row>
    <row r="22" spans="1:8" x14ac:dyDescent="0.25">
      <c r="A22" s="1" t="s">
        <v>21</v>
      </c>
      <c r="B22" s="2">
        <v>136.74700000000001</v>
      </c>
      <c r="C22" s="2">
        <f>B22/60</f>
        <v>2.2791166666666669</v>
      </c>
      <c r="D22" s="2">
        <f>3609367286/(1000*1000)</f>
        <v>3609.3672860000001</v>
      </c>
      <c r="E22" s="2">
        <v>212.53700000000001</v>
      </c>
      <c r="F22" s="2">
        <f>E22/60</f>
        <v>3.5422833333333332</v>
      </c>
      <c r="G22" s="2">
        <f>7978443025/(1000*1000)</f>
        <v>7978.4430249999996</v>
      </c>
      <c r="H22" s="2">
        <f>((B22*100)/E22)-100</f>
        <v>-35.65967337451832</v>
      </c>
    </row>
    <row r="23" spans="1:8" x14ac:dyDescent="0.25">
      <c r="A23" s="1" t="s">
        <v>9</v>
      </c>
      <c r="B23" s="2">
        <v>31.992000000000001</v>
      </c>
      <c r="C23" s="2">
        <f t="shared" si="2"/>
        <v>0.53320000000000001</v>
      </c>
      <c r="D23" s="2">
        <f>55699969/(1000*1000)</f>
        <v>55.699969000000003</v>
      </c>
      <c r="E23" s="2">
        <v>45.859000000000002</v>
      </c>
      <c r="F23" s="2">
        <f t="shared" si="0"/>
        <v>0.76431666666666664</v>
      </c>
      <c r="G23" s="2">
        <f>104650098/(1000*1000)</f>
        <v>104.650098</v>
      </c>
      <c r="H23" s="2">
        <f t="shared" si="1"/>
        <v>-30.238339257288644</v>
      </c>
    </row>
    <row r="24" spans="1:8" x14ac:dyDescent="0.25">
      <c r="A24" s="1" t="s">
        <v>19</v>
      </c>
      <c r="B24" s="2">
        <v>5046.4170000000004</v>
      </c>
      <c r="C24" s="2">
        <f>B24/60</f>
        <v>84.106950000000012</v>
      </c>
      <c r="D24" s="2">
        <f>98753835217/(1000*1000)</f>
        <v>98753.835217</v>
      </c>
      <c r="E24" s="2">
        <v>6525.6390000000001</v>
      </c>
      <c r="F24" s="2">
        <f>E24/60</f>
        <v>108.76065</v>
      </c>
      <c r="G24" s="2">
        <f>192474834921/(1000*1000)</f>
        <v>192474.834921</v>
      </c>
      <c r="H24" s="2">
        <f>((B24*100)/E24)-100</f>
        <v>-22.667849079607379</v>
      </c>
    </row>
    <row r="25" spans="1:8" x14ac:dyDescent="0.25">
      <c r="A25" s="1" t="s">
        <v>10</v>
      </c>
      <c r="B25" s="2">
        <v>56.515999999999998</v>
      </c>
      <c r="C25" s="2">
        <f t="shared" si="2"/>
        <v>0.94193333333333329</v>
      </c>
      <c r="D25" s="2">
        <f>1425169516/(1000*1000)</f>
        <v>1425.1695159999999</v>
      </c>
      <c r="E25" s="2">
        <v>46.515000000000001</v>
      </c>
      <c r="F25" s="2">
        <f t="shared" si="0"/>
        <v>0.77524999999999999</v>
      </c>
      <c r="G25" s="2">
        <f>3073370012/(1000*1000)</f>
        <v>3073.3700119999999</v>
      </c>
      <c r="H25" s="2">
        <f t="shared" si="1"/>
        <v>21.500591207137475</v>
      </c>
    </row>
    <row r="26" spans="1:8" x14ac:dyDescent="0.25">
      <c r="A26" s="9" t="s">
        <v>37</v>
      </c>
      <c r="B26" s="14">
        <f t="shared" ref="B26:G26" si="6">SUM(B3:B25)</f>
        <v>10592.578000000001</v>
      </c>
      <c r="C26" s="14">
        <f t="shared" si="6"/>
        <v>176.5429666666667</v>
      </c>
      <c r="D26" s="14">
        <f t="shared" si="6"/>
        <v>259662.07418199998</v>
      </c>
      <c r="E26" s="2">
        <f t="shared" si="6"/>
        <v>14637.996999999999</v>
      </c>
      <c r="F26" s="2">
        <f t="shared" si="6"/>
        <v>243.96661666666668</v>
      </c>
      <c r="G26" s="13">
        <f t="shared" si="6"/>
        <v>524069.92522500001</v>
      </c>
    </row>
    <row r="27" spans="1:8" x14ac:dyDescent="0.25">
      <c r="D27" s="14">
        <f>D26/1024</f>
        <v>253.57624431835936</v>
      </c>
      <c r="G27" s="14">
        <f>G26/1024</f>
        <v>511.78703635253908</v>
      </c>
    </row>
    <row r="29" spans="1:8" ht="15" customHeight="1" x14ac:dyDescent="0.25">
      <c r="A29" s="3" t="s">
        <v>29</v>
      </c>
      <c r="B29" s="1"/>
      <c r="C29" s="1"/>
      <c r="D29" s="1"/>
      <c r="E29" s="1"/>
      <c r="F29" s="1"/>
      <c r="G29" s="1"/>
      <c r="H29" s="36" t="s">
        <v>31</v>
      </c>
    </row>
    <row r="30" spans="1:8" x14ac:dyDescent="0.25">
      <c r="A30" s="4" t="s">
        <v>0</v>
      </c>
      <c r="B30" s="4" t="s">
        <v>25</v>
      </c>
      <c r="C30" s="4" t="s">
        <v>26</v>
      </c>
      <c r="D30" s="8" t="s">
        <v>61</v>
      </c>
      <c r="E30" s="4" t="s">
        <v>24</v>
      </c>
      <c r="F30" s="4" t="s">
        <v>27</v>
      </c>
      <c r="G30" s="8" t="s">
        <v>62</v>
      </c>
      <c r="H30" s="36"/>
    </row>
    <row r="31" spans="1:8" x14ac:dyDescent="0.25">
      <c r="A31" s="1" t="s">
        <v>1</v>
      </c>
      <c r="B31" s="2">
        <v>46.7</v>
      </c>
      <c r="C31" s="2">
        <f>B31/60</f>
        <v>0.77833333333333343</v>
      </c>
      <c r="D31" s="2">
        <f>176885700/(1000*1000)</f>
        <v>176.88570000000001</v>
      </c>
      <c r="E31" s="2">
        <v>83.754000000000005</v>
      </c>
      <c r="F31" s="2">
        <f>E31/60</f>
        <v>1.3959000000000001</v>
      </c>
      <c r="G31" s="2">
        <f>205033514/(1000*1000)</f>
        <v>205.033514</v>
      </c>
      <c r="H31" s="2">
        <f>((B31*100)/E31)-100</f>
        <v>-44.2414690641641</v>
      </c>
    </row>
    <row r="32" spans="1:8" x14ac:dyDescent="0.25">
      <c r="A32" s="1" t="s">
        <v>2</v>
      </c>
      <c r="B32" s="2">
        <v>35.582000000000001</v>
      </c>
      <c r="C32" s="2">
        <f t="shared" ref="C32:C53" si="7">B32/60</f>
        <v>0.5930333333333333</v>
      </c>
      <c r="D32" s="2">
        <f>43030962/(1000*1000)</f>
        <v>43.030962000000002</v>
      </c>
      <c r="E32" s="2">
        <v>51.738999999999997</v>
      </c>
      <c r="F32" s="2">
        <f t="shared" ref="F32:F53" si="8">E32/60</f>
        <v>0.86231666666666662</v>
      </c>
      <c r="G32" s="2">
        <f>42583028/(1000*1000)</f>
        <v>42.583027999999999</v>
      </c>
      <c r="H32" s="2">
        <f t="shared" ref="H32:H53" si="9">((B32*100)/E32)-100</f>
        <v>-31.22789385183323</v>
      </c>
    </row>
    <row r="33" spans="1:8" x14ac:dyDescent="0.25">
      <c r="A33" s="1" t="s">
        <v>3</v>
      </c>
      <c r="B33" s="2">
        <v>21.503</v>
      </c>
      <c r="C33" s="2">
        <f>B33/60</f>
        <v>0.35838333333333333</v>
      </c>
      <c r="D33" s="2">
        <f>10292044/(1000*1000)</f>
        <v>10.292044000000001</v>
      </c>
      <c r="E33" s="2">
        <v>23.504999999999999</v>
      </c>
      <c r="F33" s="2">
        <f>E33/60</f>
        <v>0.39174999999999999</v>
      </c>
      <c r="G33" s="2">
        <f>14410841/(1000*1000)</f>
        <v>14.410841</v>
      </c>
      <c r="H33" s="2">
        <f>((B33*100)/E33)-100</f>
        <v>-8.517336736864479</v>
      </c>
    </row>
    <row r="34" spans="1:8" x14ac:dyDescent="0.25">
      <c r="A34" s="1" t="s">
        <v>4</v>
      </c>
      <c r="B34" s="2">
        <v>15.08</v>
      </c>
      <c r="C34" s="2">
        <f>B34/60</f>
        <v>0.25133333333333335</v>
      </c>
      <c r="D34" s="2">
        <f>2461078/(1000*1000)</f>
        <v>2.4610780000000001</v>
      </c>
      <c r="E34" s="2">
        <v>16.091999999999999</v>
      </c>
      <c r="F34" s="2">
        <f>E34/60</f>
        <v>0.26819999999999999</v>
      </c>
      <c r="G34" s="2">
        <f>3627398/(1000*1000)</f>
        <v>3.6273979999999999</v>
      </c>
      <c r="H34" s="2">
        <f>((B34*100)/E34)-100</f>
        <v>-6.2888391747452062</v>
      </c>
    </row>
    <row r="35" spans="1:8" x14ac:dyDescent="0.25">
      <c r="A35" s="1" t="s">
        <v>5</v>
      </c>
      <c r="B35" s="2">
        <v>15.069000000000001</v>
      </c>
      <c r="C35" s="2">
        <f t="shared" si="7"/>
        <v>0.25115000000000004</v>
      </c>
      <c r="D35" s="2">
        <f>22156/(1000*1000)</f>
        <v>2.2155999999999999E-2</v>
      </c>
      <c r="E35" s="2">
        <v>15.574999999999999</v>
      </c>
      <c r="F35" s="2">
        <f t="shared" si="8"/>
        <v>0.25958333333333333</v>
      </c>
      <c r="G35" s="2">
        <f>44241/(1000*1000)</f>
        <v>4.4241000000000003E-2</v>
      </c>
      <c r="H35" s="2">
        <f t="shared" si="9"/>
        <v>-3.248796147672536</v>
      </c>
    </row>
    <row r="36" spans="1:8" x14ac:dyDescent="0.25">
      <c r="A36" s="1" t="s">
        <v>6</v>
      </c>
      <c r="B36" s="2">
        <v>26.018999999999998</v>
      </c>
      <c r="C36" s="2">
        <f t="shared" si="7"/>
        <v>0.43364999999999998</v>
      </c>
      <c r="D36" s="2">
        <f>1118/(1000*1000)</f>
        <v>1.1180000000000001E-3</v>
      </c>
      <c r="E36" s="2">
        <v>29.484000000000002</v>
      </c>
      <c r="F36" s="2">
        <f t="shared" si="8"/>
        <v>0.4914</v>
      </c>
      <c r="G36" s="2">
        <f>786/(1000*1000)</f>
        <v>7.8600000000000002E-4</v>
      </c>
      <c r="H36" s="2">
        <f t="shared" si="9"/>
        <v>-11.752136752136764</v>
      </c>
    </row>
    <row r="37" spans="1:8" x14ac:dyDescent="0.25">
      <c r="A37" s="1" t="s">
        <v>8</v>
      </c>
      <c r="B37" s="2">
        <v>31.210999999999999</v>
      </c>
      <c r="C37" s="2">
        <f t="shared" ref="C37:C45" si="10">B37/60</f>
        <v>0.52018333333333333</v>
      </c>
      <c r="D37" s="2">
        <f>112061380/(1000*1000)</f>
        <v>112.06138</v>
      </c>
      <c r="E37" s="2">
        <v>46.212000000000003</v>
      </c>
      <c r="F37" s="2">
        <f t="shared" ref="F37:F45" si="11">E37/60</f>
        <v>0.77020000000000011</v>
      </c>
      <c r="G37" s="2">
        <f>115498277/(1000*1000)</f>
        <v>115.498277</v>
      </c>
      <c r="H37" s="2">
        <f t="shared" ref="H37:H45" si="12">((B37*100)/E37)-100</f>
        <v>-32.461265472171732</v>
      </c>
    </row>
    <row r="38" spans="1:8" x14ac:dyDescent="0.25">
      <c r="A38" s="1" t="s">
        <v>11</v>
      </c>
      <c r="B38" s="2">
        <v>29.204999999999998</v>
      </c>
      <c r="C38" s="2">
        <f t="shared" si="10"/>
        <v>0.48674999999999996</v>
      </c>
      <c r="D38" s="2">
        <f>341982/(1000*1000)</f>
        <v>0.34198200000000001</v>
      </c>
      <c r="E38" s="2">
        <v>30.562999999999999</v>
      </c>
      <c r="F38" s="2">
        <f t="shared" si="11"/>
        <v>0.5093833333333333</v>
      </c>
      <c r="G38" s="2">
        <f>389921/(1000*1000)</f>
        <v>0.38992100000000002</v>
      </c>
      <c r="H38" s="2">
        <f t="shared" si="12"/>
        <v>-4.4432810915158854</v>
      </c>
    </row>
    <row r="39" spans="1:8" x14ac:dyDescent="0.25">
      <c r="A39" s="1" t="s">
        <v>12</v>
      </c>
      <c r="B39" s="2">
        <v>27.042000000000002</v>
      </c>
      <c r="C39" s="2">
        <f t="shared" si="10"/>
        <v>0.45070000000000005</v>
      </c>
      <c r="D39" s="2">
        <f>35374/(1000*1000)</f>
        <v>3.5374000000000003E-2</v>
      </c>
      <c r="E39" s="2">
        <v>28.34</v>
      </c>
      <c r="F39" s="2">
        <f t="shared" si="11"/>
        <v>0.47233333333333333</v>
      </c>
      <c r="G39" s="2">
        <f>37626/(1000*1000)</f>
        <v>3.7626E-2</v>
      </c>
      <c r="H39" s="2">
        <f t="shared" si="12"/>
        <v>-4.580098800282272</v>
      </c>
    </row>
    <row r="40" spans="1:8" x14ac:dyDescent="0.25">
      <c r="A40" s="1" t="s">
        <v>13</v>
      </c>
      <c r="B40" s="2">
        <v>26.039000000000001</v>
      </c>
      <c r="C40" s="2">
        <f t="shared" si="10"/>
        <v>0.43398333333333333</v>
      </c>
      <c r="D40" s="2">
        <f>3782/(1000*1000)</f>
        <v>3.7820000000000002E-3</v>
      </c>
      <c r="E40" s="2">
        <v>28.414000000000001</v>
      </c>
      <c r="F40" s="2">
        <f t="shared" si="11"/>
        <v>0.47356666666666669</v>
      </c>
      <c r="G40" s="2">
        <f>2564/(1000*1000)</f>
        <v>2.5639999999999999E-3</v>
      </c>
      <c r="H40" s="2">
        <f t="shared" si="12"/>
        <v>-8.3585556415851414</v>
      </c>
    </row>
    <row r="41" spans="1:8" x14ac:dyDescent="0.25">
      <c r="A41" s="1" t="s">
        <v>14</v>
      </c>
      <c r="B41" s="2">
        <v>26.027000000000001</v>
      </c>
      <c r="C41" s="2">
        <f t="shared" si="10"/>
        <v>0.43378333333333335</v>
      </c>
      <c r="D41" s="2">
        <f>69112/(1000*1000)</f>
        <v>6.9112000000000007E-2</v>
      </c>
      <c r="E41" s="2">
        <v>28.44</v>
      </c>
      <c r="F41" s="2">
        <f t="shared" si="11"/>
        <v>0.47400000000000003</v>
      </c>
      <c r="G41" s="2">
        <f>64120/(1000*1000)</f>
        <v>6.4119999999999996E-2</v>
      </c>
      <c r="H41" s="2">
        <f t="shared" si="12"/>
        <v>-8.4845288326300903</v>
      </c>
    </row>
    <row r="42" spans="1:8" x14ac:dyDescent="0.25">
      <c r="A42" s="1" t="s">
        <v>17</v>
      </c>
      <c r="B42" s="2">
        <v>13.907</v>
      </c>
      <c r="C42" s="2">
        <f t="shared" si="10"/>
        <v>0.23178333333333334</v>
      </c>
      <c r="D42" s="2">
        <f>459746/(1000*1000)</f>
        <v>0.45974599999999999</v>
      </c>
      <c r="E42" s="2">
        <v>13.769</v>
      </c>
      <c r="F42" s="2">
        <f t="shared" si="11"/>
        <v>0.22948333333333334</v>
      </c>
      <c r="G42" s="2">
        <f>1134118/(1000*1000)</f>
        <v>1.134118</v>
      </c>
      <c r="H42" s="2">
        <f t="shared" si="12"/>
        <v>1.0022514343815772</v>
      </c>
    </row>
    <row r="43" spans="1:8" x14ac:dyDescent="0.25">
      <c r="A43" s="1" t="s">
        <v>18</v>
      </c>
      <c r="B43" s="2">
        <v>27.18</v>
      </c>
      <c r="C43" s="2">
        <f t="shared" si="10"/>
        <v>0.45300000000000001</v>
      </c>
      <c r="D43" s="2">
        <f>7480/(1000*1000)</f>
        <v>7.4799999999999997E-3</v>
      </c>
      <c r="E43" s="2">
        <v>29.638000000000002</v>
      </c>
      <c r="F43" s="2">
        <f t="shared" si="11"/>
        <v>0.49396666666666672</v>
      </c>
      <c r="G43" s="2">
        <f>4814/(1000*1000)</f>
        <v>4.8139999999999997E-3</v>
      </c>
      <c r="H43" s="2">
        <f t="shared" si="12"/>
        <v>-8.2934071124907263</v>
      </c>
    </row>
    <row r="44" spans="1:8" x14ac:dyDescent="0.25">
      <c r="A44" s="1" t="s">
        <v>23</v>
      </c>
      <c r="B44" s="2">
        <v>26.951000000000001</v>
      </c>
      <c r="C44" s="2">
        <f t="shared" si="10"/>
        <v>0.44918333333333332</v>
      </c>
      <c r="D44" s="2">
        <f>17812/(1000*1000)</f>
        <v>1.7812000000000001E-2</v>
      </c>
      <c r="E44" s="2">
        <v>29.433</v>
      </c>
      <c r="F44" s="2">
        <f t="shared" si="11"/>
        <v>0.49054999999999999</v>
      </c>
      <c r="G44" s="2">
        <f>11337/(1000*1000)</f>
        <v>1.1337E-2</v>
      </c>
      <c r="H44" s="2">
        <f t="shared" si="12"/>
        <v>-8.43271158223763</v>
      </c>
    </row>
    <row r="45" spans="1:8" x14ac:dyDescent="0.25">
      <c r="A45" s="1" t="s">
        <v>20</v>
      </c>
      <c r="B45" s="2">
        <v>25.844000000000001</v>
      </c>
      <c r="C45" s="2">
        <f t="shared" si="10"/>
        <v>0.43073333333333336</v>
      </c>
      <c r="D45" s="2">
        <f>83242/(1000*1000)</f>
        <v>8.3241999999999997E-2</v>
      </c>
      <c r="E45" s="2">
        <v>29.25</v>
      </c>
      <c r="F45" s="2">
        <f t="shared" si="11"/>
        <v>0.48749999999999999</v>
      </c>
      <c r="G45" s="2">
        <f>92771/(1000*1000)</f>
        <v>9.2771000000000006E-2</v>
      </c>
      <c r="H45" s="2">
        <f t="shared" si="12"/>
        <v>-11.644444444444446</v>
      </c>
    </row>
    <row r="46" spans="1:8" x14ac:dyDescent="0.25">
      <c r="A46" s="1" t="s">
        <v>7</v>
      </c>
      <c r="B46" s="2">
        <v>486.75400000000002</v>
      </c>
      <c r="C46" s="2">
        <f t="shared" si="7"/>
        <v>8.1125666666666678</v>
      </c>
      <c r="D46" s="2">
        <f>8628382678/(1000*1000)</f>
        <v>8628.3826779999999</v>
      </c>
      <c r="E46" s="2">
        <v>1031.8620000000001</v>
      </c>
      <c r="F46" s="2">
        <f t="shared" si="8"/>
        <v>17.197700000000001</v>
      </c>
      <c r="G46" s="2">
        <f>20293715016/(1000*1000)</f>
        <v>20293.715015999998</v>
      </c>
      <c r="H46" s="2">
        <f t="shared" si="9"/>
        <v>-52.827606792381154</v>
      </c>
    </row>
    <row r="47" spans="1:8" x14ac:dyDescent="0.25">
      <c r="A47" s="1" t="s">
        <v>16</v>
      </c>
      <c r="B47" s="2">
        <v>1542.588</v>
      </c>
      <c r="C47" s="2">
        <f>B47/60</f>
        <v>25.709799999999998</v>
      </c>
      <c r="D47" s="2">
        <f>88530872035/(1000*1000)</f>
        <v>88530.872034999993</v>
      </c>
      <c r="E47" s="2">
        <v>2443.8090000000002</v>
      </c>
      <c r="F47" s="2">
        <f>E47/60</f>
        <v>40.730150000000002</v>
      </c>
      <c r="G47" s="2">
        <f>76609812060/(1000*1000)</f>
        <v>76609.812059999997</v>
      </c>
      <c r="H47" s="2">
        <f>((B47*100)/E47)-100</f>
        <v>-36.877718348692561</v>
      </c>
    </row>
    <row r="48" spans="1:8" x14ac:dyDescent="0.25">
      <c r="A48" s="1" t="s">
        <v>15</v>
      </c>
      <c r="B48" s="2">
        <v>117.40300000000001</v>
      </c>
      <c r="C48" s="2">
        <f>B48/60</f>
        <v>1.9567166666666667</v>
      </c>
      <c r="D48" s="2">
        <f>4416189014/(1000*1000)</f>
        <v>4416.1890139999996</v>
      </c>
      <c r="E48" s="2">
        <v>181.42699999999999</v>
      </c>
      <c r="F48" s="2">
        <f>E48/60</f>
        <v>3.0237833333333333</v>
      </c>
      <c r="G48" s="2">
        <f>4080872061/(1000*1000)</f>
        <v>4080.872061</v>
      </c>
      <c r="H48" s="2">
        <f>((B48*100)/E48)-100</f>
        <v>-35.289124551472483</v>
      </c>
    </row>
    <row r="49" spans="1:8" x14ac:dyDescent="0.25">
      <c r="A49" s="1" t="s">
        <v>22</v>
      </c>
      <c r="B49" s="2">
        <v>2123.3150000000001</v>
      </c>
      <c r="C49" s="2">
        <f>B49/60</f>
        <v>35.388583333333337</v>
      </c>
      <c r="D49" s="2">
        <f>125572918622/(1000*1000)</f>
        <v>125572.918622</v>
      </c>
      <c r="E49" s="2">
        <v>3453.2350000000001</v>
      </c>
      <c r="F49" s="2">
        <f>E49/60</f>
        <v>57.553916666666666</v>
      </c>
      <c r="G49" s="2">
        <f>109062033254/(1000*1000)</f>
        <v>109062.03325399999</v>
      </c>
      <c r="H49" s="2">
        <f>((B49*100)/E49)-100</f>
        <v>-38.512293545038204</v>
      </c>
    </row>
    <row r="50" spans="1:8" x14ac:dyDescent="0.25">
      <c r="A50" s="1" t="s">
        <v>21</v>
      </c>
      <c r="B50" s="2">
        <v>126.333</v>
      </c>
      <c r="C50" s="2">
        <f>B50/60</f>
        <v>2.10555</v>
      </c>
      <c r="D50" s="2">
        <f>5192689956/(1000*1000)</f>
        <v>5192.6899560000002</v>
      </c>
      <c r="E50" s="2">
        <v>194.82499999999999</v>
      </c>
      <c r="F50" s="2">
        <f>E50/60</f>
        <v>3.2470833333333333</v>
      </c>
      <c r="G50" s="2">
        <f>4783495517/(1000*1000)</f>
        <v>4783.4955170000003</v>
      </c>
      <c r="H50" s="2">
        <f>((B50*100)/E50)-100</f>
        <v>-35.155652508661618</v>
      </c>
    </row>
    <row r="51" spans="1:8" x14ac:dyDescent="0.25">
      <c r="A51" s="1" t="s">
        <v>9</v>
      </c>
      <c r="B51" s="2">
        <v>31.885999999999999</v>
      </c>
      <c r="C51" s="2">
        <f t="shared" si="7"/>
        <v>0.53143333333333331</v>
      </c>
      <c r="D51" s="2">
        <f>71078060/(1000*1000)</f>
        <v>71.078059999999994</v>
      </c>
      <c r="E51" s="2">
        <v>45.817999999999998</v>
      </c>
      <c r="F51" s="2">
        <f t="shared" si="8"/>
        <v>0.76363333333333328</v>
      </c>
      <c r="G51" s="2">
        <f>80708477/(1000*1000)</f>
        <v>80.708477000000002</v>
      </c>
      <c r="H51" s="2">
        <f t="shared" si="9"/>
        <v>-30.407263520886985</v>
      </c>
    </row>
    <row r="52" spans="1:8" x14ac:dyDescent="0.25">
      <c r="A52" s="1" t="s">
        <v>19</v>
      </c>
      <c r="B52" s="2">
        <v>4384.1059999999998</v>
      </c>
      <c r="C52" s="2">
        <f>B52/60</f>
        <v>73.068433333333331</v>
      </c>
      <c r="D52" s="2">
        <f>152831431329/(1000*1000)</f>
        <v>152831.43132900001</v>
      </c>
      <c r="E52" s="2">
        <v>6481.3130000000001</v>
      </c>
      <c r="F52" s="2">
        <f>E52/60</f>
        <v>108.02188333333334</v>
      </c>
      <c r="G52" s="2">
        <f>129266932458/(1000*1000)</f>
        <v>129266.932458</v>
      </c>
      <c r="H52" s="2">
        <f>((B52*100)/E52)-100</f>
        <v>-32.357749116575619</v>
      </c>
    </row>
    <row r="53" spans="1:8" x14ac:dyDescent="0.25">
      <c r="A53" s="1" t="s">
        <v>10</v>
      </c>
      <c r="B53" s="2">
        <v>59.466000000000001</v>
      </c>
      <c r="C53" s="2">
        <f t="shared" si="7"/>
        <v>0.99109999999999998</v>
      </c>
      <c r="D53" s="2">
        <f>2396711831/(1000*1000)</f>
        <v>2396.7118310000001</v>
      </c>
      <c r="E53" s="2">
        <v>75.84</v>
      </c>
      <c r="F53" s="2">
        <f t="shared" si="8"/>
        <v>1.264</v>
      </c>
      <c r="G53" s="2">
        <f>2122880439/(1000*1000)</f>
        <v>2122.880439</v>
      </c>
      <c r="H53" s="2">
        <f t="shared" si="9"/>
        <v>-21.590189873417714</v>
      </c>
    </row>
    <row r="54" spans="1:8" x14ac:dyDescent="0.25">
      <c r="A54" s="9" t="s">
        <v>37</v>
      </c>
      <c r="B54" s="2">
        <f t="shared" ref="B54:G54" si="13">SUM(B31:B53)</f>
        <v>9265.2099999999991</v>
      </c>
      <c r="C54" s="2">
        <f t="shared" si="13"/>
        <v>154.42016666666663</v>
      </c>
      <c r="D54" s="2">
        <f t="shared" si="13"/>
        <v>387986.04649299994</v>
      </c>
      <c r="E54" s="2">
        <f t="shared" si="13"/>
        <v>14392.337</v>
      </c>
      <c r="F54" s="2">
        <f t="shared" si="13"/>
        <v>239.87228333333334</v>
      </c>
      <c r="G54" s="2">
        <f t="shared" si="13"/>
        <v>346683.38463799999</v>
      </c>
    </row>
    <row r="55" spans="1:8" x14ac:dyDescent="0.25">
      <c r="D55" s="2">
        <f>D54/1024</f>
        <v>378.89262352832026</v>
      </c>
      <c r="G55" s="2">
        <f>G54/1024</f>
        <v>338.55799281054686</v>
      </c>
    </row>
    <row r="57" spans="1:8" ht="15" customHeight="1" x14ac:dyDescent="0.25">
      <c r="A57" s="3" t="s">
        <v>30</v>
      </c>
      <c r="B57" s="1"/>
      <c r="C57" s="1"/>
      <c r="D57" s="1"/>
      <c r="E57" s="1"/>
      <c r="F57" s="1"/>
      <c r="G57" s="1"/>
      <c r="H57" s="36" t="s">
        <v>31</v>
      </c>
    </row>
    <row r="58" spans="1:8" x14ac:dyDescent="0.25">
      <c r="A58" s="4" t="s">
        <v>0</v>
      </c>
      <c r="B58" s="4" t="s">
        <v>25</v>
      </c>
      <c r="C58" s="4" t="s">
        <v>26</v>
      </c>
      <c r="D58" s="8" t="s">
        <v>61</v>
      </c>
      <c r="E58" s="4" t="s">
        <v>24</v>
      </c>
      <c r="F58" s="4" t="s">
        <v>27</v>
      </c>
      <c r="G58" s="8" t="s">
        <v>62</v>
      </c>
      <c r="H58" s="36"/>
    </row>
    <row r="59" spans="1:8" x14ac:dyDescent="0.25">
      <c r="A59" s="1" t="s">
        <v>1</v>
      </c>
      <c r="B59" s="2">
        <v>45.901000000000003</v>
      </c>
      <c r="C59" s="2">
        <f>B59/60</f>
        <v>0.76501666666666668</v>
      </c>
      <c r="D59" s="2">
        <f>252867395/(1000*1000)</f>
        <v>252.86739499999999</v>
      </c>
      <c r="E59" s="2">
        <v>85.997</v>
      </c>
      <c r="F59" s="2">
        <f>E59/60</f>
        <v>1.4332833333333332</v>
      </c>
      <c r="G59" s="2">
        <f>344149697/(1000*1000)</f>
        <v>344.149697</v>
      </c>
      <c r="H59" s="2">
        <f>((B59*100)/E59)-100</f>
        <v>-46.624882263334761</v>
      </c>
    </row>
    <row r="60" spans="1:8" x14ac:dyDescent="0.25">
      <c r="A60" s="1" t="s">
        <v>2</v>
      </c>
      <c r="B60" s="2">
        <v>34.572000000000003</v>
      </c>
      <c r="C60" s="2">
        <f t="shared" ref="C60:C80" si="14">B60/60</f>
        <v>0.57620000000000005</v>
      </c>
      <c r="D60" s="2">
        <f>74328433/(1000*1000)</f>
        <v>74.328433000000004</v>
      </c>
      <c r="E60" s="2">
        <v>49.643000000000001</v>
      </c>
      <c r="F60" s="2">
        <f t="shared" ref="F60:F80" si="15">E60/60</f>
        <v>0.82738333333333336</v>
      </c>
      <c r="G60" s="2">
        <f>74794780/(1000*1000)</f>
        <v>74.794780000000003</v>
      </c>
      <c r="H60" s="2">
        <f t="shared" ref="H60:H80" si="16">((B60*100)/E60)-100</f>
        <v>-30.358761557520694</v>
      </c>
    </row>
    <row r="61" spans="1:8" x14ac:dyDescent="0.25">
      <c r="A61" s="1" t="s">
        <v>3</v>
      </c>
      <c r="B61" s="2">
        <v>20.748000000000001</v>
      </c>
      <c r="C61" s="2">
        <f t="shared" si="14"/>
        <v>0.3458</v>
      </c>
      <c r="D61" s="2">
        <f>13964404/(1000*1000)</f>
        <v>13.964404</v>
      </c>
      <c r="E61" s="2">
        <v>23.398</v>
      </c>
      <c r="F61" s="2">
        <f t="shared" si="15"/>
        <v>0.38996666666666668</v>
      </c>
      <c r="G61" s="2">
        <f>22130618/(1000*1000)</f>
        <v>22.130617999999998</v>
      </c>
      <c r="H61" s="2">
        <f t="shared" si="16"/>
        <v>-11.3257543379776</v>
      </c>
    </row>
    <row r="62" spans="1:8" x14ac:dyDescent="0.25">
      <c r="A62" s="1" t="s">
        <v>4</v>
      </c>
      <c r="B62" s="2">
        <v>14.99</v>
      </c>
      <c r="C62" s="2">
        <f t="shared" si="14"/>
        <v>0.24983333333333332</v>
      </c>
      <c r="D62" s="2">
        <f>4947678/(1000*1000)</f>
        <v>4.9476779999999998</v>
      </c>
      <c r="E62" s="2">
        <v>16.105</v>
      </c>
      <c r="F62" s="2">
        <f t="shared" si="15"/>
        <v>0.26841666666666669</v>
      </c>
      <c r="G62" s="2">
        <f>7125387/(1000*1000)</f>
        <v>7.1253869999999999</v>
      </c>
      <c r="H62" s="2">
        <f t="shared" si="16"/>
        <v>-6.9233157404532761</v>
      </c>
    </row>
    <row r="63" spans="1:8" x14ac:dyDescent="0.25">
      <c r="A63" s="1" t="s">
        <v>5</v>
      </c>
      <c r="B63" s="2">
        <v>15.153</v>
      </c>
      <c r="C63" s="2">
        <f t="shared" si="14"/>
        <v>0.25255</v>
      </c>
      <c r="D63" s="2">
        <f>23615/(1000*1000)</f>
        <v>2.3615000000000001E-2</v>
      </c>
      <c r="E63" s="2">
        <v>14.087999999999999</v>
      </c>
      <c r="F63" s="2">
        <f t="shared" si="15"/>
        <v>0.23479999999999998</v>
      </c>
      <c r="G63" s="2">
        <f>72317/(1000*1000)</f>
        <v>7.2317000000000006E-2</v>
      </c>
      <c r="H63" s="2">
        <f t="shared" si="16"/>
        <v>7.5596252129471964</v>
      </c>
    </row>
    <row r="64" spans="1:8" x14ac:dyDescent="0.25">
      <c r="A64" s="1" t="s">
        <v>6</v>
      </c>
      <c r="B64" s="2">
        <v>27.285</v>
      </c>
      <c r="C64" s="2">
        <f t="shared" si="14"/>
        <v>0.45474999999999999</v>
      </c>
      <c r="D64" s="2">
        <f>1062/(1000*1000)</f>
        <v>1.062E-3</v>
      </c>
      <c r="E64" s="2">
        <v>28.556999999999999</v>
      </c>
      <c r="F64" s="2">
        <f t="shared" si="15"/>
        <v>0.47594999999999998</v>
      </c>
      <c r="G64" s="2">
        <f>806/(1000*1000)</f>
        <v>8.0599999999999997E-4</v>
      </c>
      <c r="H64" s="2">
        <f t="shared" si="16"/>
        <v>-4.4542493959449416</v>
      </c>
    </row>
    <row r="65" spans="1:8" x14ac:dyDescent="0.25">
      <c r="A65" s="1" t="s">
        <v>8</v>
      </c>
      <c r="B65" s="2">
        <v>32.402000000000001</v>
      </c>
      <c r="C65" s="2">
        <f t="shared" ref="C65:C73" si="17">B65/60</f>
        <v>0.54003333333333337</v>
      </c>
      <c r="D65" s="2">
        <f>193029865/(1000*1000)</f>
        <v>193.029865</v>
      </c>
      <c r="E65" s="2">
        <v>45.305</v>
      </c>
      <c r="F65" s="2">
        <f t="shared" ref="F65:F73" si="18">E65/60</f>
        <v>0.75508333333333333</v>
      </c>
      <c r="G65" s="2">
        <f>198121533/(1000*1000)</f>
        <v>198.121533</v>
      </c>
      <c r="H65" s="2">
        <f t="shared" ref="H65:H73" si="19">((B65*100)/E65)-100</f>
        <v>-28.48030018761726</v>
      </c>
    </row>
    <row r="66" spans="1:8" x14ac:dyDescent="0.25">
      <c r="A66" s="1" t="s">
        <v>11</v>
      </c>
      <c r="B66" s="2">
        <v>26.201000000000001</v>
      </c>
      <c r="C66" s="2">
        <f t="shared" si="17"/>
        <v>0.43668333333333337</v>
      </c>
      <c r="D66" s="2">
        <f>761758/(1000*1000)</f>
        <v>0.76175800000000005</v>
      </c>
      <c r="E66" s="2">
        <v>29.574000000000002</v>
      </c>
      <c r="F66" s="2">
        <f t="shared" si="18"/>
        <v>0.4929</v>
      </c>
      <c r="G66" s="2">
        <f>901557/(1000*1000)</f>
        <v>0.90155700000000005</v>
      </c>
      <c r="H66" s="2">
        <f t="shared" si="19"/>
        <v>-11.405288429025504</v>
      </c>
    </row>
    <row r="67" spans="1:8" x14ac:dyDescent="0.25">
      <c r="A67" s="1" t="s">
        <v>12</v>
      </c>
      <c r="B67" s="2">
        <v>26.073</v>
      </c>
      <c r="C67" s="2">
        <f t="shared" si="17"/>
        <v>0.43454999999999999</v>
      </c>
      <c r="D67" s="2">
        <f>73476/(1000*1000)</f>
        <v>7.3476E-2</v>
      </c>
      <c r="E67" s="2">
        <v>29.47</v>
      </c>
      <c r="F67" s="2">
        <f t="shared" si="18"/>
        <v>0.49116666666666664</v>
      </c>
      <c r="G67" s="2">
        <f>79243/(1000*1000)</f>
        <v>7.9242999999999994E-2</v>
      </c>
      <c r="H67" s="2">
        <f t="shared" si="19"/>
        <v>-11.526976586358998</v>
      </c>
    </row>
    <row r="68" spans="1:8" x14ac:dyDescent="0.25">
      <c r="A68" s="1" t="s">
        <v>13</v>
      </c>
      <c r="B68" s="2">
        <v>26.952999999999999</v>
      </c>
      <c r="C68" s="2">
        <f t="shared" si="17"/>
        <v>0.44921666666666665</v>
      </c>
      <c r="D68" s="2">
        <f>3745/(1000*1000)</f>
        <v>3.7450000000000001E-3</v>
      </c>
      <c r="E68" s="2">
        <v>28.524999999999999</v>
      </c>
      <c r="F68" s="2">
        <f t="shared" si="18"/>
        <v>0.47541666666666665</v>
      </c>
      <c r="G68" s="2">
        <f>2593/(1000*1000)</f>
        <v>2.5929999999999998E-3</v>
      </c>
      <c r="H68" s="2">
        <f t="shared" si="19"/>
        <v>-5.5109553023663551</v>
      </c>
    </row>
    <row r="69" spans="1:8" x14ac:dyDescent="0.25">
      <c r="A69" s="1" t="s">
        <v>14</v>
      </c>
      <c r="B69" s="2">
        <v>27.173999999999999</v>
      </c>
      <c r="C69" s="2">
        <f t="shared" si="17"/>
        <v>0.45289999999999997</v>
      </c>
      <c r="D69" s="2">
        <f>120609/(1000*1000)</f>
        <v>0.12060899999999999</v>
      </c>
      <c r="E69" s="2">
        <v>29.491</v>
      </c>
      <c r="F69" s="2">
        <f t="shared" si="18"/>
        <v>0.49151666666666666</v>
      </c>
      <c r="G69" s="2">
        <f>120876/(1000*1000)</f>
        <v>0.120876</v>
      </c>
      <c r="H69" s="2">
        <f t="shared" si="19"/>
        <v>-7.8566342273914103</v>
      </c>
    </row>
    <row r="70" spans="1:8" x14ac:dyDescent="0.25">
      <c r="A70" s="1" t="s">
        <v>17</v>
      </c>
      <c r="B70" s="2">
        <v>13.848000000000001</v>
      </c>
      <c r="C70" s="2">
        <f t="shared" si="17"/>
        <v>0.23080000000000001</v>
      </c>
      <c r="D70" s="2">
        <f>1693308/(1000*1000)</f>
        <v>1.693308</v>
      </c>
      <c r="E70" s="2">
        <v>15.082000000000001</v>
      </c>
      <c r="F70" s="2">
        <f t="shared" si="18"/>
        <v>0.25136666666666668</v>
      </c>
      <c r="G70" s="2">
        <f>2835043/(1000*1000)</f>
        <v>2.8350430000000002</v>
      </c>
      <c r="H70" s="2">
        <f t="shared" si="19"/>
        <v>-8.1819387349157893</v>
      </c>
    </row>
    <row r="71" spans="1:8" x14ac:dyDescent="0.25">
      <c r="A71" s="1" t="s">
        <v>18</v>
      </c>
      <c r="B71" s="2">
        <v>26.861000000000001</v>
      </c>
      <c r="C71" s="2">
        <f t="shared" si="17"/>
        <v>0.44768333333333332</v>
      </c>
      <c r="D71" s="2">
        <f>8280/(1000*1000)</f>
        <v>8.2799999999999992E-3</v>
      </c>
      <c r="E71" s="2">
        <v>27.356000000000002</v>
      </c>
      <c r="F71" s="2">
        <f t="shared" si="18"/>
        <v>0.45593333333333336</v>
      </c>
      <c r="G71" s="2">
        <f>5671/(1000*1000)</f>
        <v>5.6709999999999998E-3</v>
      </c>
      <c r="H71" s="2">
        <f t="shared" si="19"/>
        <v>-1.8094750694546065</v>
      </c>
    </row>
    <row r="72" spans="1:8" x14ac:dyDescent="0.25">
      <c r="A72" s="1" t="s">
        <v>23</v>
      </c>
      <c r="B72" s="2">
        <v>26.988</v>
      </c>
      <c r="C72" s="2">
        <f t="shared" si="17"/>
        <v>0.44979999999999998</v>
      </c>
      <c r="D72" s="2">
        <f>20652/(1000*1000)</f>
        <v>2.0652E-2</v>
      </c>
      <c r="E72" s="2">
        <v>29.515000000000001</v>
      </c>
      <c r="F72" s="2">
        <f t="shared" si="18"/>
        <v>0.49191666666666667</v>
      </c>
      <c r="G72" s="2">
        <f>14626/(1000*1000)</f>
        <v>1.4626E-2</v>
      </c>
      <c r="H72" s="2">
        <f t="shared" si="19"/>
        <v>-8.5617482635947795</v>
      </c>
    </row>
    <row r="73" spans="1:8" x14ac:dyDescent="0.25">
      <c r="A73" s="1" t="s">
        <v>20</v>
      </c>
      <c r="B73" s="2">
        <v>26.977</v>
      </c>
      <c r="C73" s="2">
        <f t="shared" si="17"/>
        <v>0.44961666666666666</v>
      </c>
      <c r="D73" s="2">
        <f>113746/(1000*1000)</f>
        <v>0.113746</v>
      </c>
      <c r="E73" s="2">
        <v>29.812000000000001</v>
      </c>
      <c r="F73" s="2">
        <f t="shared" si="18"/>
        <v>0.49686666666666668</v>
      </c>
      <c r="G73" s="2">
        <f>139773/(1000*1000)</f>
        <v>0.13977300000000001</v>
      </c>
      <c r="H73" s="2">
        <f t="shared" si="19"/>
        <v>-9.5095934523010897</v>
      </c>
    </row>
    <row r="74" spans="1:8" x14ac:dyDescent="0.25">
      <c r="A74" s="1" t="s">
        <v>7</v>
      </c>
      <c r="B74" s="2">
        <v>585.73299999999995</v>
      </c>
      <c r="C74" s="2">
        <f t="shared" si="14"/>
        <v>9.7622166666666654</v>
      </c>
      <c r="D74" s="2">
        <f>24984783296/(1000*1000)</f>
        <v>24984.783296000001</v>
      </c>
      <c r="E74" s="2">
        <v>1037.2280000000001</v>
      </c>
      <c r="F74" s="2">
        <f t="shared" si="15"/>
        <v>17.287133333333333</v>
      </c>
      <c r="G74" s="2">
        <f>35864484029/(1000*1000)</f>
        <v>35864.484028999999</v>
      </c>
      <c r="H74" s="2">
        <f t="shared" si="16"/>
        <v>-43.529002302290344</v>
      </c>
    </row>
    <row r="75" spans="1:8" x14ac:dyDescent="0.25">
      <c r="A75" s="1" t="s">
        <v>16</v>
      </c>
      <c r="B75" s="2">
        <v>1916.8620000000001</v>
      </c>
      <c r="C75" s="2">
        <f>B75/60</f>
        <v>31.947700000000001</v>
      </c>
      <c r="D75" s="2">
        <f>158679509265/(1000*1000)</f>
        <v>158679.509265</v>
      </c>
      <c r="E75" s="2">
        <v>2549.7809999999999</v>
      </c>
      <c r="F75" s="2">
        <f>E75/60</f>
        <v>42.49635</v>
      </c>
      <c r="G75" s="2">
        <f>117991747795/(1000*1000)</f>
        <v>117991.747795</v>
      </c>
      <c r="H75" s="2">
        <f>((B75*100)/E75)-100</f>
        <v>-24.82248475457304</v>
      </c>
    </row>
    <row r="76" spans="1:8" x14ac:dyDescent="0.25">
      <c r="A76" s="1" t="s">
        <v>15</v>
      </c>
      <c r="B76" s="2">
        <v>141.429</v>
      </c>
      <c r="C76" s="2">
        <f>B76/60</f>
        <v>2.3571499999999999</v>
      </c>
      <c r="D76" s="2">
        <f>7384632945/(1000*1000)</f>
        <v>7384.6329450000003</v>
      </c>
      <c r="E76" s="2">
        <v>188.31299999999999</v>
      </c>
      <c r="F76" s="2">
        <f>E76/60</f>
        <v>3.13855</v>
      </c>
      <c r="G76" s="2">
        <f>6556852915/(1000*1000)</f>
        <v>6556.8529150000004</v>
      </c>
      <c r="H76" s="2">
        <f>((B76*100)/E76)-100</f>
        <v>-24.89684727023625</v>
      </c>
    </row>
    <row r="77" spans="1:8" x14ac:dyDescent="0.25">
      <c r="A77" s="1" t="s">
        <v>22</v>
      </c>
      <c r="B77" s="2">
        <v>2609.4920000000002</v>
      </c>
      <c r="C77" s="2">
        <f>B77/60</f>
        <v>43.491533333333336</v>
      </c>
      <c r="D77" s="2">
        <f>219234749390/(1000*1000)</f>
        <v>219234.74939000001</v>
      </c>
      <c r="E77" s="2">
        <v>3632.701</v>
      </c>
      <c r="F77" s="2">
        <f>E77/60</f>
        <v>60.545016666666669</v>
      </c>
      <c r="G77" s="2">
        <f>159371629376/(1000*1000)</f>
        <v>159371.629376</v>
      </c>
      <c r="H77" s="2">
        <f>((B77*100)/E77)-100</f>
        <v>-28.166617621433744</v>
      </c>
    </row>
    <row r="78" spans="1:8" x14ac:dyDescent="0.25">
      <c r="A78" s="1" t="s">
        <v>21</v>
      </c>
      <c r="B78" s="2">
        <v>150.316</v>
      </c>
      <c r="C78" s="2">
        <f>B78/60</f>
        <v>2.5052666666666665</v>
      </c>
      <c r="D78" s="2">
        <f>8423680488/(1000*1000)</f>
        <v>8423.680488</v>
      </c>
      <c r="E78" s="2">
        <v>214.483</v>
      </c>
      <c r="F78" s="2">
        <f>E78/60</f>
        <v>3.5747166666666668</v>
      </c>
      <c r="G78" s="2">
        <f>7984057941/(1000*1000)</f>
        <v>7984.057941</v>
      </c>
      <c r="H78" s="2">
        <f>((B78*100)/E78)-100</f>
        <v>-29.91705636344139</v>
      </c>
    </row>
    <row r="79" spans="1:8" x14ac:dyDescent="0.25">
      <c r="A79" s="1" t="s">
        <v>9</v>
      </c>
      <c r="B79" s="2">
        <v>33.180999999999997</v>
      </c>
      <c r="C79" s="2">
        <f t="shared" si="14"/>
        <v>0.5530166666666666</v>
      </c>
      <c r="D79" s="2">
        <f>80450635/(1000*1000)</f>
        <v>80.450635000000005</v>
      </c>
      <c r="E79" s="2">
        <v>47.957999999999998</v>
      </c>
      <c r="F79" s="2">
        <f t="shared" si="15"/>
        <v>0.79930000000000001</v>
      </c>
      <c r="G79" s="2">
        <f>104650098/(1000*1000)</f>
        <v>104.650098</v>
      </c>
      <c r="H79" s="2">
        <f t="shared" si="16"/>
        <v>-30.812377496976524</v>
      </c>
    </row>
    <row r="80" spans="1:8" x14ac:dyDescent="0.25">
      <c r="A80" s="1" t="s">
        <v>19</v>
      </c>
      <c r="B80" s="2">
        <v>4581.1540000000005</v>
      </c>
      <c r="C80" s="2">
        <f t="shared" si="14"/>
        <v>76.352566666666675</v>
      </c>
      <c r="D80" s="2">
        <f>183889891288/(1000*1000)</f>
        <v>183889.89128800001</v>
      </c>
      <c r="E80" s="2">
        <v>6558.1260000000002</v>
      </c>
      <c r="F80" s="2">
        <f t="shared" si="15"/>
        <v>109.30210000000001</v>
      </c>
      <c r="G80" s="2">
        <f>192463894120/(1000*1000)</f>
        <v>192463.89412000001</v>
      </c>
      <c r="H80" s="2">
        <f t="shared" si="16"/>
        <v>-30.145379945429525</v>
      </c>
    </row>
    <row r="81" spans="1:8" x14ac:dyDescent="0.25">
      <c r="A81" s="1" t="s">
        <v>10</v>
      </c>
      <c r="B81" s="2">
        <v>41.679000000000002</v>
      </c>
      <c r="C81" s="2">
        <f>B81/60</f>
        <v>0.69464999999999999</v>
      </c>
      <c r="D81" s="2">
        <f>3009429776/(1000*1000)</f>
        <v>3009.4297759999999</v>
      </c>
      <c r="E81" s="2">
        <v>43.981999999999999</v>
      </c>
      <c r="F81" s="2">
        <f>E81/60</f>
        <v>0.73303333333333331</v>
      </c>
      <c r="G81" s="2">
        <f>3073370012/(1000*1000)</f>
        <v>3073.3700119999999</v>
      </c>
      <c r="H81" s="2">
        <f>((B81*100)/E81)-100</f>
        <v>-5.2362330044108774</v>
      </c>
    </row>
    <row r="82" spans="1:8" x14ac:dyDescent="0.25">
      <c r="A82" s="9" t="s">
        <v>37</v>
      </c>
      <c r="B82" s="2">
        <f>SUM(B59:B80)</f>
        <v>10410.293</v>
      </c>
      <c r="C82" s="2">
        <f>SUM(C59:C80)</f>
        <v>173.50488333333334</v>
      </c>
      <c r="D82" s="2">
        <f>SUM(D59:D81)</f>
        <v>606229.08510899998</v>
      </c>
      <c r="E82" s="2">
        <f>SUM(E59:E80)</f>
        <v>14710.508</v>
      </c>
      <c r="F82" s="2">
        <f>SUM(F59:F80)</f>
        <v>245.17513333333329</v>
      </c>
      <c r="G82" s="2">
        <f>SUM(G59:G81)</f>
        <v>524061.18080600002</v>
      </c>
    </row>
    <row r="83" spans="1:8" x14ac:dyDescent="0.25">
      <c r="D83" s="2">
        <f>D82/1024</f>
        <v>592.02059092675779</v>
      </c>
      <c r="G83" s="2">
        <f>G82/1024</f>
        <v>511.77849688085939</v>
      </c>
    </row>
  </sheetData>
  <mergeCells count="3">
    <mergeCell ref="H1:H2"/>
    <mergeCell ref="H29:H30"/>
    <mergeCell ref="H57:H5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I4" sqref="I4"/>
    </sheetView>
  </sheetViews>
  <sheetFormatPr defaultRowHeight="15" x14ac:dyDescent="0.25"/>
  <cols>
    <col min="1" max="1" width="24.28515625" bestFit="1" customWidth="1"/>
    <col min="2" max="2" width="12.85546875" bestFit="1" customWidth="1"/>
    <col min="3" max="3" width="9.5703125" bestFit="1" customWidth="1"/>
    <col min="4" max="4" width="17.5703125" bestFit="1" customWidth="1"/>
    <col min="5" max="5" width="16.7109375" bestFit="1" customWidth="1"/>
    <col min="6" max="6" width="13.42578125" bestFit="1" customWidth="1"/>
    <col min="7" max="7" width="20.42578125" bestFit="1" customWidth="1"/>
  </cols>
  <sheetData>
    <row r="1" spans="1:7" x14ac:dyDescent="0.25">
      <c r="A1" s="8" t="s">
        <v>47</v>
      </c>
      <c r="B1" s="8" t="s">
        <v>55</v>
      </c>
      <c r="C1" s="8" t="s">
        <v>56</v>
      </c>
      <c r="D1" s="8" t="s">
        <v>53</v>
      </c>
      <c r="E1" s="8" t="s">
        <v>57</v>
      </c>
      <c r="F1" s="8" t="s">
        <v>58</v>
      </c>
      <c r="G1" s="8" t="s">
        <v>54</v>
      </c>
    </row>
    <row r="2" spans="1:7" x14ac:dyDescent="0.25">
      <c r="A2" s="2" t="s">
        <v>1</v>
      </c>
      <c r="B2" s="2">
        <v>45.606999999999999</v>
      </c>
      <c r="C2" s="2">
        <f>B2/60</f>
        <v>0.76011666666666666</v>
      </c>
      <c r="D2" s="2">
        <f>131853103/(1000*1000)</f>
        <v>131.853103</v>
      </c>
      <c r="E2" s="2">
        <v>33.01</v>
      </c>
      <c r="F2" s="2">
        <f>E2/60</f>
        <v>0.55016666666666658</v>
      </c>
      <c r="G2" s="2">
        <f>339884923/(1000*1000)</f>
        <v>339.88492300000001</v>
      </c>
    </row>
    <row r="3" spans="1:7" x14ac:dyDescent="0.25">
      <c r="A3" s="2" t="s">
        <v>2</v>
      </c>
      <c r="B3" s="2">
        <v>84.94</v>
      </c>
      <c r="C3" s="2">
        <f t="shared" ref="C3:C24" si="0">B3/60</f>
        <v>1.4156666666666666</v>
      </c>
      <c r="D3" s="2">
        <f>29286886/(1000*1000)</f>
        <v>29.286885999999999</v>
      </c>
      <c r="E3" s="2">
        <v>27.783999999999999</v>
      </c>
      <c r="F3" s="2">
        <f t="shared" ref="F3:F24" si="1">E3/60</f>
        <v>0.46306666666666663</v>
      </c>
      <c r="G3" s="2">
        <f>76732239/(1000*1000)</f>
        <v>76.732239000000007</v>
      </c>
    </row>
    <row r="4" spans="1:7" x14ac:dyDescent="0.25">
      <c r="A4" s="2" t="s">
        <v>3</v>
      </c>
      <c r="B4" s="2">
        <v>29.37</v>
      </c>
      <c r="C4" s="2">
        <f t="shared" si="0"/>
        <v>0.48949999999999999</v>
      </c>
      <c r="D4" s="2">
        <f>7425722/(1000*1000)</f>
        <v>7.4257220000000004</v>
      </c>
      <c r="E4" s="2">
        <v>27.318999999999999</v>
      </c>
      <c r="F4" s="2">
        <f t="shared" si="1"/>
        <v>0.45531666666666665</v>
      </c>
      <c r="G4" s="2">
        <f>22130581/(1000*1000)</f>
        <v>22.130580999999999</v>
      </c>
    </row>
    <row r="5" spans="1:7" x14ac:dyDescent="0.25">
      <c r="A5" s="2" t="s">
        <v>4</v>
      </c>
      <c r="B5" s="2">
        <v>22.251999999999999</v>
      </c>
      <c r="C5" s="2">
        <f t="shared" si="0"/>
        <v>0.37086666666666662</v>
      </c>
      <c r="D5" s="2">
        <f>1816494/(1000*1000)</f>
        <v>1.8164940000000001</v>
      </c>
      <c r="E5" s="2">
        <v>22.146999999999998</v>
      </c>
      <c r="F5" s="2">
        <f t="shared" si="1"/>
        <v>0.36911666666666665</v>
      </c>
      <c r="G5" s="2">
        <f>7125350/(1000*1000)</f>
        <v>7.1253500000000001</v>
      </c>
    </row>
    <row r="6" spans="1:7" x14ac:dyDescent="0.25">
      <c r="A6" s="2" t="s">
        <v>5</v>
      </c>
      <c r="B6" s="2">
        <v>19.933</v>
      </c>
      <c r="C6" s="2">
        <f t="shared" si="0"/>
        <v>0.33221666666666666</v>
      </c>
      <c r="D6" s="2">
        <f>15263/(1000*1000)</f>
        <v>1.5263000000000001E-2</v>
      </c>
      <c r="E6" s="2">
        <v>21.035</v>
      </c>
      <c r="F6" s="2">
        <f t="shared" si="1"/>
        <v>0.35058333333333336</v>
      </c>
      <c r="G6" s="2">
        <f>72280/(1000*1000)</f>
        <v>7.2279999999999997E-2</v>
      </c>
    </row>
    <row r="7" spans="1:7" x14ac:dyDescent="0.25">
      <c r="A7" s="2" t="s">
        <v>6</v>
      </c>
      <c r="B7" s="2">
        <v>39.223999999999997</v>
      </c>
      <c r="C7" s="2">
        <f t="shared" si="0"/>
        <v>0.65373333333333328</v>
      </c>
      <c r="D7" s="2">
        <f>484/(1000*1000)</f>
        <v>4.84E-4</v>
      </c>
      <c r="E7" s="2">
        <v>39.323</v>
      </c>
      <c r="F7" s="2">
        <f t="shared" si="1"/>
        <v>0.65538333333333332</v>
      </c>
      <c r="G7" s="2">
        <f>769/(1000*1000)</f>
        <v>7.6900000000000004E-4</v>
      </c>
    </row>
    <row r="8" spans="1:7" x14ac:dyDescent="0.25">
      <c r="A8" s="2" t="s">
        <v>8</v>
      </c>
      <c r="B8" s="2">
        <v>35.595999999999997</v>
      </c>
      <c r="C8" s="2">
        <f t="shared" si="0"/>
        <v>0.59326666666666661</v>
      </c>
      <c r="D8" s="2">
        <f>77036705/(1000*1000)</f>
        <v>77.036704999999998</v>
      </c>
      <c r="E8" s="2">
        <v>26.306999999999999</v>
      </c>
      <c r="F8" s="2">
        <f t="shared" si="1"/>
        <v>0.43844999999999995</v>
      </c>
      <c r="G8" s="2">
        <f>198287020/(1000*1000)</f>
        <v>198.28702000000001</v>
      </c>
    </row>
    <row r="9" spans="1:7" x14ac:dyDescent="0.25">
      <c r="A9" s="2" t="s">
        <v>11</v>
      </c>
      <c r="B9" s="2">
        <v>39.368000000000002</v>
      </c>
      <c r="C9" s="2">
        <f t="shared" si="0"/>
        <v>0.65613333333333335</v>
      </c>
      <c r="D9" s="2">
        <f>218552/(1000*1000)</f>
        <v>0.218552</v>
      </c>
      <c r="E9" s="2">
        <v>40.585999999999999</v>
      </c>
      <c r="F9" s="2">
        <f t="shared" si="1"/>
        <v>0.67643333333333333</v>
      </c>
      <c r="G9" s="2">
        <f>901520/(1000*1000)</f>
        <v>0.90151999999999999</v>
      </c>
    </row>
    <row r="10" spans="1:7" x14ac:dyDescent="0.25">
      <c r="A10" s="2" t="s">
        <v>12</v>
      </c>
      <c r="B10" s="2">
        <v>40.640999999999998</v>
      </c>
      <c r="C10" s="2">
        <f t="shared" si="0"/>
        <v>0.67735000000000001</v>
      </c>
      <c r="D10" s="2">
        <f>22790/(1000*1000)</f>
        <v>2.2790000000000001E-2</v>
      </c>
      <c r="E10" s="2">
        <v>39.253999999999998</v>
      </c>
      <c r="F10" s="2">
        <f t="shared" si="1"/>
        <v>0.65423333333333333</v>
      </c>
      <c r="G10" s="2">
        <f>79206/(1000*1000)</f>
        <v>7.9205999999999999E-2</v>
      </c>
    </row>
    <row r="11" spans="1:7" x14ac:dyDescent="0.25">
      <c r="A11" s="2" t="s">
        <v>13</v>
      </c>
      <c r="B11" s="2">
        <v>39.505000000000003</v>
      </c>
      <c r="C11" s="2">
        <f t="shared" si="0"/>
        <v>0.65841666666666676</v>
      </c>
      <c r="D11" s="2">
        <f>1954/(1000*1000)</f>
        <v>1.954E-3</v>
      </c>
      <c r="E11" s="2">
        <v>39.404000000000003</v>
      </c>
      <c r="F11" s="2">
        <f t="shared" si="1"/>
        <v>0.65673333333333339</v>
      </c>
      <c r="G11" s="2">
        <f>2556/(1000*1000)</f>
        <v>2.5560000000000001E-3</v>
      </c>
    </row>
    <row r="12" spans="1:7" x14ac:dyDescent="0.25">
      <c r="A12" s="2" t="s">
        <v>14</v>
      </c>
      <c r="B12" s="2">
        <v>39.530999999999999</v>
      </c>
      <c r="C12" s="2">
        <f t="shared" si="0"/>
        <v>0.65884999999999994</v>
      </c>
      <c r="D12" s="2">
        <f>39215/(1000*1000)</f>
        <v>3.9215E-2</v>
      </c>
      <c r="E12" s="2">
        <v>40.411999999999999</v>
      </c>
      <c r="F12" s="2">
        <f t="shared" si="1"/>
        <v>0.67353333333333332</v>
      </c>
      <c r="G12" s="2">
        <f>120839/(1000*1000)</f>
        <v>0.120839</v>
      </c>
    </row>
    <row r="13" spans="1:7" x14ac:dyDescent="0.25">
      <c r="A13" s="2" t="s">
        <v>17</v>
      </c>
      <c r="B13" s="2">
        <v>21.51</v>
      </c>
      <c r="C13" s="2">
        <f t="shared" si="0"/>
        <v>0.35850000000000004</v>
      </c>
      <c r="D13" s="2">
        <f>213813/(1000*1000)</f>
        <v>0.213813</v>
      </c>
      <c r="E13" s="2">
        <v>20.995999999999999</v>
      </c>
      <c r="F13" s="2">
        <f t="shared" si="1"/>
        <v>0.34993333333333332</v>
      </c>
      <c r="G13" s="2">
        <f>2835006/(1000*1000)</f>
        <v>2.8350059999999999</v>
      </c>
    </row>
    <row r="14" spans="1:7" x14ac:dyDescent="0.25">
      <c r="A14" s="2" t="s">
        <v>18</v>
      </c>
      <c r="B14" s="2">
        <v>40.296999999999997</v>
      </c>
      <c r="C14" s="2">
        <f t="shared" si="0"/>
        <v>0.67161666666666664</v>
      </c>
      <c r="D14" s="2">
        <f>3195/(1000*1000)</f>
        <v>3.1949999999999999E-3</v>
      </c>
      <c r="E14" s="2">
        <v>40.273000000000003</v>
      </c>
      <c r="F14" s="2">
        <f t="shared" si="1"/>
        <v>0.67121666666666668</v>
      </c>
      <c r="G14" s="2">
        <f>5634/(1000*1000)</f>
        <v>5.6340000000000001E-3</v>
      </c>
    </row>
    <row r="15" spans="1:7" x14ac:dyDescent="0.25">
      <c r="A15" s="2" t="s">
        <v>23</v>
      </c>
      <c r="B15" s="2">
        <v>39.396000000000001</v>
      </c>
      <c r="C15" s="2">
        <f t="shared" si="0"/>
        <v>0.65659999999999996</v>
      </c>
      <c r="D15" s="2">
        <f>7518/(1000*1000)</f>
        <v>7.5180000000000004E-3</v>
      </c>
      <c r="E15" s="2">
        <v>39.158999999999999</v>
      </c>
      <c r="F15" s="2">
        <f t="shared" si="1"/>
        <v>0.65264999999999995</v>
      </c>
      <c r="G15" s="2">
        <f>14589/(1000*1000)</f>
        <v>1.4589E-2</v>
      </c>
    </row>
    <row r="16" spans="1:7" x14ac:dyDescent="0.25">
      <c r="A16" s="2" t="s">
        <v>20</v>
      </c>
      <c r="B16" s="2">
        <v>39.268999999999998</v>
      </c>
      <c r="C16" s="2">
        <f t="shared" si="0"/>
        <v>0.65448333333333331</v>
      </c>
      <c r="D16" s="2">
        <f>58175/(1000*1000)</f>
        <v>5.8174999999999998E-2</v>
      </c>
      <c r="E16" s="2">
        <v>40.234000000000002</v>
      </c>
      <c r="F16" s="2">
        <f t="shared" si="1"/>
        <v>0.67056666666666664</v>
      </c>
      <c r="G16" s="2">
        <f>139736/(1000*1000)</f>
        <v>0.139736</v>
      </c>
    </row>
    <row r="17" spans="1:7" x14ac:dyDescent="0.25">
      <c r="A17" s="2" t="s">
        <v>7</v>
      </c>
      <c r="B17" s="2">
        <v>826.88800000000003</v>
      </c>
      <c r="C17" s="2">
        <f t="shared" si="0"/>
        <v>13.781466666666667</v>
      </c>
      <c r="D17" s="2">
        <f>5300831730/(1000*1000)</f>
        <v>5300.8317299999999</v>
      </c>
      <c r="E17" s="2">
        <v>795.59699999999998</v>
      </c>
      <c r="F17" s="2">
        <f t="shared" si="1"/>
        <v>13.25995</v>
      </c>
      <c r="G17" s="2">
        <f>35394602895/(1000*1000)</f>
        <v>35394.602895000004</v>
      </c>
    </row>
    <row r="18" spans="1:7" x14ac:dyDescent="0.25">
      <c r="A18" s="2" t="s">
        <v>16</v>
      </c>
      <c r="B18" s="2">
        <v>2273.1790000000001</v>
      </c>
      <c r="C18" s="2">
        <f t="shared" si="0"/>
        <v>37.886316666666666</v>
      </c>
      <c r="D18" s="2">
        <f>56299457474/(1000*1000)</f>
        <v>56299.457474000003</v>
      </c>
      <c r="E18" s="2">
        <v>2083.433</v>
      </c>
      <c r="F18" s="2">
        <f t="shared" si="1"/>
        <v>34.723883333333333</v>
      </c>
      <c r="G18" s="2">
        <f>111376637428/(1000*1000)</f>
        <v>111376.637428</v>
      </c>
    </row>
    <row r="19" spans="1:7" x14ac:dyDescent="0.25">
      <c r="A19" s="2" t="s">
        <v>15</v>
      </c>
      <c r="B19" s="2">
        <v>133.03299999999999</v>
      </c>
      <c r="C19" s="2">
        <f t="shared" si="0"/>
        <v>2.2172166666666664</v>
      </c>
      <c r="D19" s="2">
        <f>2928356593/(1000*1000)</f>
        <v>2928.356593</v>
      </c>
      <c r="E19" s="2">
        <v>127.321</v>
      </c>
      <c r="F19" s="2">
        <f t="shared" si="1"/>
        <v>2.1220166666666667</v>
      </c>
      <c r="G19" s="2">
        <f>5610131546/(1000*1000)</f>
        <v>5610.1315459999996</v>
      </c>
    </row>
    <row r="20" spans="1:7" x14ac:dyDescent="0.25">
      <c r="A20" s="2" t="s">
        <v>22</v>
      </c>
      <c r="B20" s="2">
        <v>3156.46</v>
      </c>
      <c r="C20" s="2">
        <f t="shared" si="0"/>
        <v>52.607666666666667</v>
      </c>
      <c r="D20" s="2">
        <f>78770448310/(1000*1000)</f>
        <v>78770.448310000007</v>
      </c>
      <c r="E20" s="2">
        <v>2967.0859999999998</v>
      </c>
      <c r="F20" s="2">
        <f t="shared" si="1"/>
        <v>49.451433333333327</v>
      </c>
      <c r="G20" s="2">
        <f>156911818624/(1000*1000)</f>
        <v>156911.81862400001</v>
      </c>
    </row>
    <row r="21" spans="1:7" x14ac:dyDescent="0.25">
      <c r="A21" s="2" t="s">
        <v>21</v>
      </c>
      <c r="B21" s="2">
        <v>146.87799999999999</v>
      </c>
      <c r="C21" s="2">
        <f t="shared" si="0"/>
        <v>2.4479666666666664</v>
      </c>
      <c r="D21" s="2">
        <f>3374074920/(1000*1000)</f>
        <v>3374.07492</v>
      </c>
      <c r="E21" s="2">
        <v>147.34299999999999</v>
      </c>
      <c r="F21" s="2">
        <f t="shared" si="1"/>
        <v>2.4557166666666665</v>
      </c>
      <c r="G21" s="2">
        <f>6746764678/(1000*1000)</f>
        <v>6746.7646779999995</v>
      </c>
    </row>
    <row r="22" spans="1:7" x14ac:dyDescent="0.25">
      <c r="A22" s="2" t="s">
        <v>9</v>
      </c>
      <c r="B22" s="2">
        <v>29.998999999999999</v>
      </c>
      <c r="C22" s="2">
        <f t="shared" si="0"/>
        <v>0.49998333333333334</v>
      </c>
      <c r="D22" s="2">
        <f>52126152/(1000*1000)</f>
        <v>52.126151999999998</v>
      </c>
      <c r="E22" s="2">
        <v>24.891999999999999</v>
      </c>
      <c r="F22" s="2">
        <f t="shared" si="1"/>
        <v>0.41486666666666666</v>
      </c>
      <c r="G22" s="2">
        <f>108014904/(1000*1000)</f>
        <v>108.014904</v>
      </c>
    </row>
    <row r="23" spans="1:7" x14ac:dyDescent="0.25">
      <c r="A23" s="2" t="s">
        <v>19</v>
      </c>
      <c r="B23" s="2">
        <v>5275.62</v>
      </c>
      <c r="C23" s="2">
        <f t="shared" si="0"/>
        <v>87.926999999999992</v>
      </c>
      <c r="D23" s="2">
        <f>101924122988/(1000*1000)</f>
        <v>101924.122988</v>
      </c>
      <c r="E23" s="2">
        <v>5726.335</v>
      </c>
      <c r="F23" s="2">
        <f t="shared" si="1"/>
        <v>95.438916666666671</v>
      </c>
      <c r="G23" s="2">
        <f>173243921174/(1000*1000)</f>
        <v>173243.92117399999</v>
      </c>
    </row>
    <row r="24" spans="1:7" x14ac:dyDescent="0.25">
      <c r="A24" s="2" t="s">
        <v>10</v>
      </c>
      <c r="B24" s="2">
        <v>64.632999999999996</v>
      </c>
      <c r="C24" s="2">
        <f t="shared" si="0"/>
        <v>1.0772166666666665</v>
      </c>
      <c r="D24" s="2">
        <f>1288226535/(1000*1000)</f>
        <v>1288.226535</v>
      </c>
      <c r="E24" s="2">
        <v>53.512</v>
      </c>
      <c r="F24" s="2">
        <f t="shared" si="1"/>
        <v>0.8918666666666667</v>
      </c>
      <c r="G24" s="2">
        <f>3074177240/(1000*1000)</f>
        <v>3074.17724</v>
      </c>
    </row>
    <row r="25" spans="1:7" x14ac:dyDescent="0.25">
      <c r="A25" s="9" t="s">
        <v>37</v>
      </c>
      <c r="B25" s="2"/>
      <c r="C25" s="2">
        <f>SUM(C2:C24)</f>
        <v>208.05214999999998</v>
      </c>
      <c r="D25" s="2">
        <f>SUM(D2:D24)</f>
        <v>250185.64457100004</v>
      </c>
      <c r="E25" s="2"/>
      <c r="F25" s="2">
        <f>SUM(F2:F24)</f>
        <v>207.0460333333333</v>
      </c>
      <c r="G25" s="2">
        <f>SUM(G2:G24)</f>
        <v>493114.40073699993</v>
      </c>
    </row>
    <row r="26" spans="1:7" x14ac:dyDescent="0.25">
      <c r="D26" s="2">
        <f>D25/1024</f>
        <v>244.32191852636723</v>
      </c>
      <c r="G26" s="2">
        <f>G25/1024</f>
        <v>481.55703196972649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E45" sqref="E45"/>
    </sheetView>
  </sheetViews>
  <sheetFormatPr defaultRowHeight="15" x14ac:dyDescent="0.25"/>
  <cols>
    <col min="1" max="1" width="25.140625" bestFit="1" customWidth="1"/>
    <col min="2" max="2" width="10.85546875" bestFit="1" customWidth="1"/>
    <col min="3" max="3" width="10.85546875" customWidth="1"/>
    <col min="4" max="4" width="18.140625" bestFit="1" customWidth="1"/>
    <col min="5" max="5" width="14.7109375" bestFit="1" customWidth="1"/>
    <col min="6" max="6" width="14.7109375" customWidth="1"/>
    <col min="7" max="7" width="17.42578125" customWidth="1"/>
  </cols>
  <sheetData>
    <row r="1" spans="1:7" x14ac:dyDescent="0.25">
      <c r="A1" s="7" t="s">
        <v>47</v>
      </c>
      <c r="B1" s="7" t="s">
        <v>48</v>
      </c>
      <c r="C1" s="7" t="s">
        <v>51</v>
      </c>
      <c r="D1" s="7" t="s">
        <v>52</v>
      </c>
      <c r="E1" s="7" t="s">
        <v>49</v>
      </c>
      <c r="F1" s="7" t="s">
        <v>27</v>
      </c>
      <c r="G1" s="7" t="s">
        <v>50</v>
      </c>
    </row>
    <row r="2" spans="1:7" x14ac:dyDescent="0.25">
      <c r="A2" s="2" t="s">
        <v>1</v>
      </c>
      <c r="B2" s="2">
        <v>143.99</v>
      </c>
      <c r="C2" s="2">
        <f>B2/60</f>
        <v>2.3998333333333335</v>
      </c>
      <c r="D2" s="11">
        <v>170.89</v>
      </c>
      <c r="E2" s="2">
        <v>93.46</v>
      </c>
      <c r="F2" s="2">
        <f>E2/60</f>
        <v>1.5576666666666665</v>
      </c>
      <c r="G2" s="2">
        <v>205.03299999999999</v>
      </c>
    </row>
    <row r="3" spans="1:7" x14ac:dyDescent="0.25">
      <c r="A3" s="2" t="s">
        <v>2</v>
      </c>
      <c r="B3" s="2">
        <v>81.36</v>
      </c>
      <c r="C3" s="2">
        <f t="shared" ref="C3:C24" si="0">B3/60</f>
        <v>1.3560000000000001</v>
      </c>
      <c r="D3" s="11">
        <v>38.374000000000002</v>
      </c>
      <c r="E3" s="2">
        <v>60.51</v>
      </c>
      <c r="F3" s="2">
        <f t="shared" ref="F3:F24" si="1">E3/60</f>
        <v>1.0085</v>
      </c>
      <c r="G3" s="2">
        <v>42.582999999999998</v>
      </c>
    </row>
    <row r="4" spans="1:7" x14ac:dyDescent="0.25">
      <c r="A4" s="2" t="s">
        <v>3</v>
      </c>
      <c r="B4" s="2">
        <v>27.15</v>
      </c>
      <c r="C4" s="2">
        <f t="shared" si="0"/>
        <v>0.45249999999999996</v>
      </c>
      <c r="D4" s="11">
        <v>10.186999999999999</v>
      </c>
      <c r="E4" s="2">
        <v>27.18</v>
      </c>
      <c r="F4" s="2">
        <f t="shared" si="1"/>
        <v>0.45300000000000001</v>
      </c>
      <c r="G4" s="2">
        <v>14.411</v>
      </c>
    </row>
    <row r="5" spans="1:7" x14ac:dyDescent="0.25">
      <c r="A5" s="2" t="s">
        <v>4</v>
      </c>
      <c r="B5" s="2">
        <v>21.41</v>
      </c>
      <c r="C5" s="2">
        <f t="shared" si="0"/>
        <v>0.35683333333333334</v>
      </c>
      <c r="D5" s="11">
        <v>2.395</v>
      </c>
      <c r="E5" s="2">
        <v>21.96</v>
      </c>
      <c r="F5" s="2">
        <f t="shared" si="1"/>
        <v>0.36599999999999999</v>
      </c>
      <c r="G5" s="2">
        <v>3.6269999999999998</v>
      </c>
    </row>
    <row r="6" spans="1:7" x14ac:dyDescent="0.25">
      <c r="A6" s="2" t="s">
        <v>5</v>
      </c>
      <c r="B6" s="2">
        <v>19.86</v>
      </c>
      <c r="C6" s="2">
        <f t="shared" si="0"/>
        <v>0.33100000000000002</v>
      </c>
      <c r="D6" s="11">
        <v>1.9E-2</v>
      </c>
      <c r="E6" s="2">
        <v>19.89</v>
      </c>
      <c r="F6" s="2">
        <f t="shared" si="1"/>
        <v>0.33150000000000002</v>
      </c>
      <c r="G6" s="2">
        <v>4.3999999999999997E-2</v>
      </c>
    </row>
    <row r="7" spans="1:7" x14ac:dyDescent="0.25">
      <c r="A7" s="2" t="s">
        <v>6</v>
      </c>
      <c r="B7" s="2">
        <v>39.21</v>
      </c>
      <c r="C7" s="2">
        <f t="shared" si="0"/>
        <v>0.65349999999999997</v>
      </c>
      <c r="D7" s="11">
        <v>1E-3</v>
      </c>
      <c r="E7" s="2">
        <v>39.44</v>
      </c>
      <c r="F7" s="2">
        <f t="shared" si="1"/>
        <v>0.65733333333333333</v>
      </c>
      <c r="G7" s="2">
        <v>1E-3</v>
      </c>
    </row>
    <row r="8" spans="1:7" x14ac:dyDescent="0.25">
      <c r="A8" s="2" t="s">
        <v>8</v>
      </c>
      <c r="B8" s="2">
        <v>66.61</v>
      </c>
      <c r="C8" s="2">
        <f t="shared" si="0"/>
        <v>1.1101666666666667</v>
      </c>
      <c r="D8" s="11">
        <v>109.67700000000001</v>
      </c>
      <c r="E8" s="2">
        <v>57.3</v>
      </c>
      <c r="F8" s="2">
        <f t="shared" si="1"/>
        <v>0.95499999999999996</v>
      </c>
      <c r="G8" s="2">
        <v>115.498</v>
      </c>
    </row>
    <row r="9" spans="1:7" x14ac:dyDescent="0.25">
      <c r="A9" s="2" t="s">
        <v>11</v>
      </c>
      <c r="B9" s="2">
        <v>40.6</v>
      </c>
      <c r="C9" s="2">
        <f t="shared" si="0"/>
        <v>0.67666666666666664</v>
      </c>
      <c r="D9" s="11">
        <v>0.32600000000000001</v>
      </c>
      <c r="E9" s="2">
        <v>41.35</v>
      </c>
      <c r="F9" s="2">
        <f t="shared" si="1"/>
        <v>0.68916666666666671</v>
      </c>
      <c r="G9" s="2">
        <v>0.39</v>
      </c>
    </row>
    <row r="10" spans="1:7" x14ac:dyDescent="0.25">
      <c r="A10" s="2" t="s">
        <v>12</v>
      </c>
      <c r="B10" s="2">
        <v>39.56</v>
      </c>
      <c r="C10" s="2">
        <f t="shared" si="0"/>
        <v>0.65933333333333333</v>
      </c>
      <c r="D10" s="11">
        <v>3.3000000000000002E-2</v>
      </c>
      <c r="E10" s="2">
        <v>40.54</v>
      </c>
      <c r="F10" s="2">
        <f t="shared" si="1"/>
        <v>0.67566666666666664</v>
      </c>
      <c r="G10" s="2">
        <v>3.7999999999999999E-2</v>
      </c>
    </row>
    <row r="11" spans="1:7" x14ac:dyDescent="0.25">
      <c r="A11" s="2" t="s">
        <v>13</v>
      </c>
      <c r="B11" s="2">
        <v>39.14</v>
      </c>
      <c r="C11" s="2">
        <f t="shared" si="0"/>
        <v>0.65233333333333332</v>
      </c>
      <c r="D11" s="11">
        <v>2E-3</v>
      </c>
      <c r="E11" s="2">
        <v>39.64</v>
      </c>
      <c r="F11" s="2">
        <f t="shared" si="1"/>
        <v>0.66066666666666662</v>
      </c>
      <c r="G11" s="2">
        <v>3.0000000000000001E-3</v>
      </c>
    </row>
    <row r="12" spans="1:7" x14ac:dyDescent="0.25">
      <c r="A12" s="2" t="s">
        <v>14</v>
      </c>
      <c r="B12" s="2">
        <v>39.229999999999997</v>
      </c>
      <c r="C12" s="2">
        <f t="shared" si="0"/>
        <v>0.65383333333333327</v>
      </c>
      <c r="D12" s="11">
        <v>5.6000000000000001E-2</v>
      </c>
      <c r="E12" s="2">
        <v>40.369999999999997</v>
      </c>
      <c r="F12" s="2">
        <f t="shared" si="1"/>
        <v>0.67283333333333328</v>
      </c>
      <c r="G12" s="2">
        <v>6.4000000000000001E-2</v>
      </c>
    </row>
    <row r="13" spans="1:7" x14ac:dyDescent="0.25">
      <c r="A13" s="2" t="s">
        <v>17</v>
      </c>
      <c r="B13" s="2">
        <v>21.01</v>
      </c>
      <c r="C13" s="2">
        <f t="shared" si="0"/>
        <v>0.35016666666666668</v>
      </c>
      <c r="D13" s="11">
        <v>0.45</v>
      </c>
      <c r="E13" s="2">
        <v>22.04</v>
      </c>
      <c r="F13" s="2">
        <f t="shared" si="1"/>
        <v>0.36733333333333335</v>
      </c>
      <c r="G13" s="2">
        <v>1.1339999999999999</v>
      </c>
    </row>
    <row r="14" spans="1:7" x14ac:dyDescent="0.25">
      <c r="A14" s="2" t="s">
        <v>18</v>
      </c>
      <c r="B14" s="2">
        <v>39.53</v>
      </c>
      <c r="C14" s="2">
        <f t="shared" si="0"/>
        <v>0.65883333333333338</v>
      </c>
      <c r="D14" s="11">
        <v>4.0000000000000001E-3</v>
      </c>
      <c r="E14" s="2">
        <v>40.21</v>
      </c>
      <c r="F14" s="2">
        <f t="shared" si="1"/>
        <v>0.67016666666666669</v>
      </c>
      <c r="G14" s="2">
        <v>5.0000000000000001E-3</v>
      </c>
    </row>
    <row r="15" spans="1:7" x14ac:dyDescent="0.25">
      <c r="A15" s="2" t="s">
        <v>23</v>
      </c>
      <c r="B15" s="2">
        <v>38.46</v>
      </c>
      <c r="C15" s="2">
        <f t="shared" si="0"/>
        <v>0.64100000000000001</v>
      </c>
      <c r="D15" s="11">
        <v>0.01</v>
      </c>
      <c r="E15" s="2">
        <v>39.61</v>
      </c>
      <c r="F15" s="2">
        <f t="shared" si="1"/>
        <v>0.66016666666666668</v>
      </c>
      <c r="G15" s="2">
        <v>1.0999999999999999E-2</v>
      </c>
    </row>
    <row r="16" spans="1:7" x14ac:dyDescent="0.25">
      <c r="A16" s="2" t="s">
        <v>20</v>
      </c>
      <c r="B16" s="2">
        <v>39.08</v>
      </c>
      <c r="C16" s="2">
        <f t="shared" si="0"/>
        <v>0.65133333333333332</v>
      </c>
      <c r="D16" s="11">
        <v>7.6999999999999999E-2</v>
      </c>
      <c r="E16" s="2">
        <v>39.21</v>
      </c>
      <c r="F16" s="2">
        <f t="shared" si="1"/>
        <v>0.65349999999999997</v>
      </c>
      <c r="G16" s="2">
        <v>9.2999999999999999E-2</v>
      </c>
    </row>
    <row r="17" spans="1:7" x14ac:dyDescent="0.25">
      <c r="A17" s="2" t="s">
        <v>7</v>
      </c>
      <c r="B17" s="2">
        <v>617.07000000000005</v>
      </c>
      <c r="C17" s="2">
        <f t="shared" si="0"/>
        <v>10.284500000000001</v>
      </c>
      <c r="D17" s="11">
        <v>5340.5590000000002</v>
      </c>
      <c r="E17" s="2">
        <v>1002.45</v>
      </c>
      <c r="F17" s="2">
        <f t="shared" si="1"/>
        <v>16.7075</v>
      </c>
      <c r="G17" s="2">
        <v>20108.964</v>
      </c>
    </row>
    <row r="18" spans="1:7" x14ac:dyDescent="0.25">
      <c r="A18" s="2" t="s">
        <v>16</v>
      </c>
      <c r="B18" s="2">
        <v>1861.34</v>
      </c>
      <c r="C18" s="2">
        <f t="shared" si="0"/>
        <v>31.022333333333332</v>
      </c>
      <c r="D18" s="11">
        <v>89157.578999999998</v>
      </c>
      <c r="E18" s="2">
        <v>2395.71</v>
      </c>
      <c r="F18" s="2">
        <f t="shared" si="1"/>
        <v>39.9285</v>
      </c>
      <c r="G18" s="2">
        <v>75059.293000000005</v>
      </c>
    </row>
    <row r="19" spans="1:7" x14ac:dyDescent="0.25">
      <c r="A19" s="2" t="s">
        <v>15</v>
      </c>
      <c r="B19" s="2">
        <v>148.21</v>
      </c>
      <c r="C19" s="2">
        <f t="shared" si="0"/>
        <v>2.4701666666666666</v>
      </c>
      <c r="D19" s="11">
        <v>4383.0940000000001</v>
      </c>
      <c r="E19" s="2">
        <v>188.77</v>
      </c>
      <c r="F19" s="2">
        <f t="shared" si="1"/>
        <v>3.1461666666666668</v>
      </c>
      <c r="G19" s="2">
        <v>4071.069</v>
      </c>
    </row>
    <row r="20" spans="1:7" x14ac:dyDescent="0.25">
      <c r="A20" s="2" t="s">
        <v>22</v>
      </c>
      <c r="B20" s="2">
        <v>2567.08</v>
      </c>
      <c r="C20" s="2">
        <f t="shared" si="0"/>
        <v>42.784666666666666</v>
      </c>
      <c r="D20" s="11">
        <v>129784.109</v>
      </c>
      <c r="E20" s="2">
        <v>3445.22</v>
      </c>
      <c r="F20" s="2">
        <f t="shared" si="1"/>
        <v>57.420333333333332</v>
      </c>
      <c r="G20" s="2">
        <v>106556.273</v>
      </c>
    </row>
    <row r="21" spans="1:7" x14ac:dyDescent="0.25">
      <c r="A21" s="2" t="s">
        <v>21</v>
      </c>
      <c r="B21" s="2">
        <v>155.47</v>
      </c>
      <c r="C21" s="2">
        <f t="shared" si="0"/>
        <v>2.5911666666666666</v>
      </c>
      <c r="D21" s="11">
        <v>5088.7129999999997</v>
      </c>
      <c r="E21" s="2">
        <v>206.36</v>
      </c>
      <c r="F21" s="2">
        <f t="shared" si="1"/>
        <v>3.4393333333333334</v>
      </c>
      <c r="G21" s="2">
        <v>4717.3289999999997</v>
      </c>
    </row>
    <row r="22" spans="1:7" x14ac:dyDescent="0.25">
      <c r="A22" s="2" t="s">
        <v>9</v>
      </c>
      <c r="B22" s="2">
        <v>58.95</v>
      </c>
      <c r="C22" s="2">
        <f t="shared" si="0"/>
        <v>0.98250000000000004</v>
      </c>
      <c r="D22" s="11">
        <v>64.753</v>
      </c>
      <c r="E22" s="2">
        <v>54.25</v>
      </c>
      <c r="F22" s="2">
        <f t="shared" si="1"/>
        <v>0.90416666666666667</v>
      </c>
      <c r="G22" s="2">
        <v>80.707999999999998</v>
      </c>
    </row>
    <row r="23" spans="1:7" x14ac:dyDescent="0.25">
      <c r="A23" s="2" t="s">
        <v>19</v>
      </c>
      <c r="B23" s="2">
        <v>4960.88</v>
      </c>
      <c r="C23" s="2">
        <f t="shared" si="0"/>
        <v>82.681333333333342</v>
      </c>
      <c r="D23" s="11">
        <v>107437.69100000001</v>
      </c>
      <c r="E23" s="2">
        <v>6380.21</v>
      </c>
      <c r="F23" s="2">
        <f t="shared" si="1"/>
        <v>106.33683333333333</v>
      </c>
      <c r="G23" s="2">
        <v>128550.66</v>
      </c>
    </row>
    <row r="24" spans="1:7" x14ac:dyDescent="0.25">
      <c r="A24" s="2" t="s">
        <v>10</v>
      </c>
      <c r="B24" s="2">
        <v>91.91</v>
      </c>
      <c r="C24" s="2">
        <f t="shared" si="0"/>
        <v>1.5318333333333334</v>
      </c>
      <c r="D24" s="11">
        <v>2158.9630000000002</v>
      </c>
      <c r="E24" s="2">
        <v>85.31</v>
      </c>
      <c r="F24" s="2">
        <f t="shared" si="1"/>
        <v>1.4218333333333333</v>
      </c>
      <c r="G24" s="2">
        <v>2122.212</v>
      </c>
    </row>
    <row r="25" spans="1:7" x14ac:dyDescent="0.25">
      <c r="A25" s="9" t="s">
        <v>37</v>
      </c>
      <c r="B25" s="2">
        <f t="shared" ref="B25:G25" si="2">SUM(B2:B24)</f>
        <v>11157.11</v>
      </c>
      <c r="C25" s="2">
        <f t="shared" si="2"/>
        <v>185.95183333333335</v>
      </c>
      <c r="D25" s="2">
        <f t="shared" si="2"/>
        <v>343747.962</v>
      </c>
      <c r="E25" s="2">
        <f t="shared" si="2"/>
        <v>14380.99</v>
      </c>
      <c r="F25" s="2">
        <f t="shared" si="2"/>
        <v>239.68316666666664</v>
      </c>
      <c r="G25" s="2">
        <f t="shared" si="2"/>
        <v>341649.44300000003</v>
      </c>
    </row>
    <row r="26" spans="1:7" x14ac:dyDescent="0.25">
      <c r="A26" s="10" t="s">
        <v>59</v>
      </c>
      <c r="D26" s="12">
        <f>D25/1024</f>
        <v>335.691369140625</v>
      </c>
      <c r="G26" s="12">
        <f>G25/1024</f>
        <v>333.64203417968753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E43" sqref="E43"/>
    </sheetView>
  </sheetViews>
  <sheetFormatPr defaultRowHeight="15" x14ac:dyDescent="0.25"/>
  <cols>
    <col min="1" max="1" width="25.140625" bestFit="1" customWidth="1"/>
    <col min="2" max="2" width="12.85546875" bestFit="1" customWidth="1"/>
    <col min="3" max="3" width="10.85546875" customWidth="1"/>
    <col min="4" max="4" width="17.5703125" bestFit="1" customWidth="1"/>
    <col min="5" max="5" width="16.7109375" bestFit="1" customWidth="1"/>
    <col min="6" max="6" width="14.7109375" customWidth="1"/>
    <col min="7" max="7" width="20.42578125" bestFit="1" customWidth="1"/>
  </cols>
  <sheetData>
    <row r="1" spans="1:7" x14ac:dyDescent="0.25">
      <c r="A1" s="7" t="s">
        <v>47</v>
      </c>
      <c r="B1" s="7" t="s">
        <v>55</v>
      </c>
      <c r="C1" s="7" t="s">
        <v>56</v>
      </c>
      <c r="D1" s="7" t="s">
        <v>53</v>
      </c>
      <c r="E1" s="7" t="s">
        <v>57</v>
      </c>
      <c r="F1" s="7" t="s">
        <v>58</v>
      </c>
      <c r="G1" s="7" t="s">
        <v>54</v>
      </c>
    </row>
    <row r="2" spans="1:7" x14ac:dyDescent="0.25">
      <c r="A2" s="2" t="s">
        <v>1</v>
      </c>
      <c r="B2" s="2">
        <v>146.83000000000001</v>
      </c>
      <c r="C2" s="2">
        <f>B2/60</f>
        <v>2.4471666666666669</v>
      </c>
      <c r="D2" s="2">
        <v>242.35300000000001</v>
      </c>
      <c r="E2" s="2">
        <v>92.72</v>
      </c>
      <c r="F2" s="2">
        <f>E2/60</f>
        <v>1.5453333333333332</v>
      </c>
      <c r="G2" s="2">
        <v>336.048</v>
      </c>
    </row>
    <row r="3" spans="1:7" x14ac:dyDescent="0.25">
      <c r="A3" s="2" t="s">
        <v>2</v>
      </c>
      <c r="B3" s="2">
        <v>81.650000000000006</v>
      </c>
      <c r="C3" s="2">
        <f t="shared" ref="C3:C24" si="0">B3/60</f>
        <v>1.3608333333333333</v>
      </c>
      <c r="D3" s="2">
        <v>66.087999999999994</v>
      </c>
      <c r="E3" s="2">
        <v>60.56</v>
      </c>
      <c r="F3" s="2">
        <f t="shared" ref="F3:F24" si="1">E3/60</f>
        <v>1.0093333333333334</v>
      </c>
      <c r="G3" s="2">
        <v>74.795000000000002</v>
      </c>
    </row>
    <row r="4" spans="1:7" x14ac:dyDescent="0.25">
      <c r="A4" s="2" t="s">
        <v>3</v>
      </c>
      <c r="B4" s="2">
        <v>27.34</v>
      </c>
      <c r="C4" s="2">
        <f t="shared" si="0"/>
        <v>0.45566666666666666</v>
      </c>
      <c r="D4" s="2">
        <v>11.775</v>
      </c>
      <c r="E4" s="2">
        <v>27.34</v>
      </c>
      <c r="F4" s="2">
        <f t="shared" si="1"/>
        <v>0.45566666666666666</v>
      </c>
      <c r="G4" s="2">
        <v>22.131</v>
      </c>
    </row>
    <row r="5" spans="1:7" x14ac:dyDescent="0.25">
      <c r="A5" s="2" t="s">
        <v>4</v>
      </c>
      <c r="B5" s="2">
        <v>21.98</v>
      </c>
      <c r="C5" s="2">
        <f t="shared" si="0"/>
        <v>0.36633333333333334</v>
      </c>
      <c r="D5" s="2">
        <v>4.6280000000000001</v>
      </c>
      <c r="E5" s="2">
        <v>23.16</v>
      </c>
      <c r="F5" s="2">
        <f t="shared" si="1"/>
        <v>0.38600000000000001</v>
      </c>
      <c r="G5" s="2">
        <v>7.125</v>
      </c>
    </row>
    <row r="6" spans="1:7" x14ac:dyDescent="0.25">
      <c r="A6" s="2" t="s">
        <v>5</v>
      </c>
      <c r="B6" s="2">
        <v>20.09</v>
      </c>
      <c r="C6" s="2">
        <f t="shared" si="0"/>
        <v>0.33483333333333332</v>
      </c>
      <c r="D6" s="2">
        <v>1.9E-2</v>
      </c>
      <c r="E6" s="2">
        <v>19.809999999999999</v>
      </c>
      <c r="F6" s="2">
        <f t="shared" si="1"/>
        <v>0.33016666666666666</v>
      </c>
      <c r="G6" s="2">
        <v>7.1999999999999995E-2</v>
      </c>
    </row>
    <row r="7" spans="1:7" x14ac:dyDescent="0.25">
      <c r="A7" s="2" t="s">
        <v>6</v>
      </c>
      <c r="B7" s="2">
        <v>39.54</v>
      </c>
      <c r="C7" s="2">
        <f t="shared" si="0"/>
        <v>0.65900000000000003</v>
      </c>
      <c r="D7" s="2">
        <v>0</v>
      </c>
      <c r="E7" s="2">
        <v>38.71</v>
      </c>
      <c r="F7" s="2">
        <f t="shared" si="1"/>
        <v>0.64516666666666667</v>
      </c>
      <c r="G7" s="2">
        <v>1E-3</v>
      </c>
    </row>
    <row r="8" spans="1:7" x14ac:dyDescent="0.25">
      <c r="A8" s="2" t="s">
        <v>8</v>
      </c>
      <c r="B8" s="2">
        <v>67.39</v>
      </c>
      <c r="C8" s="2">
        <f t="shared" si="0"/>
        <v>1.1231666666666666</v>
      </c>
      <c r="D8" s="2">
        <v>189.249</v>
      </c>
      <c r="E8" s="2">
        <v>56.99</v>
      </c>
      <c r="F8" s="2">
        <f t="shared" si="1"/>
        <v>0.94983333333333342</v>
      </c>
      <c r="G8" s="2">
        <v>197.95599999999999</v>
      </c>
    </row>
    <row r="9" spans="1:7" x14ac:dyDescent="0.25">
      <c r="A9" s="2" t="s">
        <v>11</v>
      </c>
      <c r="B9" s="2">
        <v>39.479999999999997</v>
      </c>
      <c r="C9" s="2">
        <f t="shared" si="0"/>
        <v>0.65799999999999992</v>
      </c>
      <c r="D9" s="2">
        <v>0.746</v>
      </c>
      <c r="E9" s="2">
        <v>41.36</v>
      </c>
      <c r="F9" s="2">
        <f t="shared" si="1"/>
        <v>0.68933333333333335</v>
      </c>
      <c r="G9" s="2">
        <v>0.90200000000000002</v>
      </c>
    </row>
    <row r="10" spans="1:7" x14ac:dyDescent="0.25">
      <c r="A10" s="2" t="s">
        <v>12</v>
      </c>
      <c r="B10" s="2">
        <v>41.38</v>
      </c>
      <c r="C10" s="2">
        <f t="shared" si="0"/>
        <v>0.68966666666666676</v>
      </c>
      <c r="D10" s="2">
        <v>7.0999999999999994E-2</v>
      </c>
      <c r="E10" s="2">
        <v>40.32</v>
      </c>
      <c r="F10" s="2">
        <f t="shared" si="1"/>
        <v>0.67200000000000004</v>
      </c>
      <c r="G10" s="2">
        <v>7.9000000000000001E-2</v>
      </c>
    </row>
    <row r="11" spans="1:7" x14ac:dyDescent="0.25">
      <c r="A11" s="2" t="s">
        <v>13</v>
      </c>
      <c r="B11" s="2">
        <v>39.24</v>
      </c>
      <c r="C11" s="2">
        <f t="shared" si="0"/>
        <v>0.65400000000000003</v>
      </c>
      <c r="D11" s="2">
        <v>2E-3</v>
      </c>
      <c r="E11" s="2">
        <v>38.770000000000003</v>
      </c>
      <c r="F11" s="2">
        <f t="shared" si="1"/>
        <v>0.64616666666666667</v>
      </c>
      <c r="G11" s="2">
        <v>3.0000000000000001E-3</v>
      </c>
    </row>
    <row r="12" spans="1:7" x14ac:dyDescent="0.25">
      <c r="A12" s="2" t="s">
        <v>14</v>
      </c>
      <c r="B12" s="2">
        <v>39.450000000000003</v>
      </c>
      <c r="C12" s="2">
        <f t="shared" si="0"/>
        <v>0.65750000000000008</v>
      </c>
      <c r="D12" s="2">
        <v>0.109</v>
      </c>
      <c r="E12" s="2">
        <v>39.67</v>
      </c>
      <c r="F12" s="2">
        <f t="shared" si="1"/>
        <v>0.66116666666666668</v>
      </c>
      <c r="G12" s="2">
        <v>0.121</v>
      </c>
    </row>
    <row r="13" spans="1:7" x14ac:dyDescent="0.25">
      <c r="A13" s="2" t="s">
        <v>17</v>
      </c>
      <c r="B13" s="2">
        <v>20.94</v>
      </c>
      <c r="C13" s="2">
        <f t="shared" si="0"/>
        <v>0.34900000000000003</v>
      </c>
      <c r="D13" s="2">
        <v>1.474</v>
      </c>
      <c r="E13" s="2">
        <v>20.99</v>
      </c>
      <c r="F13" s="2">
        <f t="shared" si="1"/>
        <v>0.34983333333333333</v>
      </c>
      <c r="G13" s="2">
        <v>2.835</v>
      </c>
    </row>
    <row r="14" spans="1:7" x14ac:dyDescent="0.25">
      <c r="A14" s="2" t="s">
        <v>18</v>
      </c>
      <c r="B14" s="2">
        <v>39.270000000000003</v>
      </c>
      <c r="C14" s="2">
        <f t="shared" si="0"/>
        <v>0.65450000000000008</v>
      </c>
      <c r="D14" s="2">
        <v>5.0000000000000001E-3</v>
      </c>
      <c r="E14" s="2">
        <v>39.299999999999997</v>
      </c>
      <c r="F14" s="2">
        <f t="shared" si="1"/>
        <v>0.65499999999999992</v>
      </c>
      <c r="G14" s="2">
        <v>6.0000000000000001E-3</v>
      </c>
    </row>
    <row r="15" spans="1:7" x14ac:dyDescent="0.25">
      <c r="A15" s="2" t="s">
        <v>23</v>
      </c>
      <c r="B15" s="2">
        <v>39.28</v>
      </c>
      <c r="C15" s="2">
        <f t="shared" si="0"/>
        <v>0.65466666666666673</v>
      </c>
      <c r="D15" s="2">
        <v>1.2999999999999999E-2</v>
      </c>
      <c r="E15" s="2">
        <v>39.93</v>
      </c>
      <c r="F15" s="2">
        <f t="shared" si="1"/>
        <v>0.66549999999999998</v>
      </c>
      <c r="G15" s="2">
        <v>1.4999999999999999E-2</v>
      </c>
    </row>
    <row r="16" spans="1:7" x14ac:dyDescent="0.25">
      <c r="A16" s="2" t="s">
        <v>20</v>
      </c>
      <c r="B16" s="2">
        <v>39.33</v>
      </c>
      <c r="C16" s="2">
        <f t="shared" si="0"/>
        <v>0.65549999999999997</v>
      </c>
      <c r="D16" s="2">
        <v>0.104</v>
      </c>
      <c r="E16" s="2">
        <v>39.29</v>
      </c>
      <c r="F16" s="2">
        <f t="shared" si="1"/>
        <v>0.65483333333333327</v>
      </c>
      <c r="G16" s="2">
        <v>0.14000000000000001</v>
      </c>
    </row>
    <row r="17" spans="1:7" x14ac:dyDescent="0.25">
      <c r="A17" s="2" t="s">
        <v>7</v>
      </c>
      <c r="B17" s="2">
        <v>616.23</v>
      </c>
      <c r="C17" s="2">
        <f t="shared" si="0"/>
        <v>10.2705</v>
      </c>
      <c r="D17" s="2">
        <v>5457.0469999999996</v>
      </c>
      <c r="E17" s="2">
        <v>1021.86</v>
      </c>
      <c r="F17" s="2">
        <f t="shared" si="1"/>
        <v>17.030999999999999</v>
      </c>
      <c r="G17" s="2">
        <v>35390.36</v>
      </c>
    </row>
    <row r="18" spans="1:7" x14ac:dyDescent="0.25">
      <c r="A18" s="2" t="s">
        <v>16</v>
      </c>
      <c r="B18" s="2">
        <v>2104.34</v>
      </c>
      <c r="C18" s="2">
        <f t="shared" si="0"/>
        <v>35.072333333333333</v>
      </c>
      <c r="D18" s="2">
        <v>138114.236</v>
      </c>
      <c r="E18" s="2">
        <v>2517.59</v>
      </c>
      <c r="F18" s="2">
        <f t="shared" si="1"/>
        <v>41.959833333333336</v>
      </c>
      <c r="G18" s="2">
        <v>125481.966</v>
      </c>
    </row>
    <row r="19" spans="1:7" x14ac:dyDescent="0.25">
      <c r="A19" s="2" t="s">
        <v>15</v>
      </c>
      <c r="B19" s="2">
        <v>156.26</v>
      </c>
      <c r="C19" s="2">
        <f t="shared" si="0"/>
        <v>2.6043333333333334</v>
      </c>
      <c r="D19" s="2">
        <v>6282.8649999999998</v>
      </c>
      <c r="E19" s="2">
        <v>200.73</v>
      </c>
      <c r="F19" s="2">
        <f t="shared" si="1"/>
        <v>3.3454999999999999</v>
      </c>
      <c r="G19" s="2">
        <v>6841.951</v>
      </c>
    </row>
    <row r="20" spans="1:7" x14ac:dyDescent="0.25">
      <c r="A20" s="2" t="s">
        <v>22</v>
      </c>
      <c r="B20" s="2">
        <v>2782.13</v>
      </c>
      <c r="C20" s="2">
        <f t="shared" si="0"/>
        <v>46.368833333333335</v>
      </c>
      <c r="D20" s="2">
        <v>168843.073</v>
      </c>
      <c r="E20" s="2">
        <v>3615.05</v>
      </c>
      <c r="F20" s="2">
        <f t="shared" si="1"/>
        <v>60.25083333333334</v>
      </c>
      <c r="G20" s="2">
        <v>173225.76500000001</v>
      </c>
    </row>
    <row r="21" spans="1:7" x14ac:dyDescent="0.25">
      <c r="A21" s="2" t="s">
        <v>21</v>
      </c>
      <c r="B21" s="2">
        <v>158.56</v>
      </c>
      <c r="C21" s="2">
        <f t="shared" si="0"/>
        <v>2.6426666666666665</v>
      </c>
      <c r="D21" s="2">
        <v>6815.5370000000003</v>
      </c>
      <c r="E21" s="2">
        <v>224.89</v>
      </c>
      <c r="F21" s="2">
        <f t="shared" si="1"/>
        <v>3.7481666666666666</v>
      </c>
      <c r="G21" s="2">
        <v>8382.5689999999995</v>
      </c>
    </row>
    <row r="22" spans="1:7" x14ac:dyDescent="0.25">
      <c r="A22" s="2" t="s">
        <v>9</v>
      </c>
      <c r="B22" s="2">
        <v>58.69</v>
      </c>
      <c r="C22" s="2">
        <f t="shared" si="0"/>
        <v>0.97816666666666663</v>
      </c>
      <c r="D22" s="2">
        <v>74.12</v>
      </c>
      <c r="E22" s="2">
        <v>54.57</v>
      </c>
      <c r="F22" s="2">
        <f t="shared" si="1"/>
        <v>0.90949999999999998</v>
      </c>
      <c r="G22" s="2">
        <v>104.65</v>
      </c>
    </row>
    <row r="23" spans="1:7" x14ac:dyDescent="0.25">
      <c r="A23" s="2" t="s">
        <v>19</v>
      </c>
      <c r="B23" s="2">
        <v>4943.6499999999996</v>
      </c>
      <c r="C23" s="2">
        <f t="shared" si="0"/>
        <v>82.394166666666663</v>
      </c>
      <c r="D23" s="2">
        <v>111353.66499999999</v>
      </c>
      <c r="E23" s="2">
        <v>6421.71</v>
      </c>
      <c r="F23" s="2">
        <f t="shared" si="1"/>
        <v>107.02849999999999</v>
      </c>
      <c r="G23" s="2">
        <v>201133.08799999999</v>
      </c>
    </row>
    <row r="24" spans="1:7" x14ac:dyDescent="0.25">
      <c r="A24" s="2" t="s">
        <v>10</v>
      </c>
      <c r="B24" s="2">
        <v>48.31</v>
      </c>
      <c r="C24" s="2">
        <f t="shared" si="0"/>
        <v>0.8051666666666667</v>
      </c>
      <c r="D24" s="2">
        <v>2966.337</v>
      </c>
      <c r="E24" s="2">
        <v>47.6</v>
      </c>
      <c r="F24" s="2">
        <f t="shared" si="1"/>
        <v>0.79333333333333333</v>
      </c>
      <c r="G24" s="2">
        <v>3072.9</v>
      </c>
    </row>
    <row r="25" spans="1:7" x14ac:dyDescent="0.25">
      <c r="A25" s="9" t="s">
        <v>37</v>
      </c>
      <c r="B25" s="2">
        <f t="shared" ref="B25:G25" si="2">SUM(B2:B24)</f>
        <v>11571.359999999999</v>
      </c>
      <c r="C25" s="2">
        <f t="shared" si="2"/>
        <v>192.85600000000002</v>
      </c>
      <c r="D25" s="2">
        <f t="shared" si="2"/>
        <v>440423.51599999995</v>
      </c>
      <c r="E25" s="2">
        <f t="shared" si="2"/>
        <v>14722.92</v>
      </c>
      <c r="F25" s="2">
        <f t="shared" si="2"/>
        <v>245.38199999999998</v>
      </c>
      <c r="G25" s="2">
        <f t="shared" si="2"/>
        <v>554275.478</v>
      </c>
    </row>
    <row r="26" spans="1:7" x14ac:dyDescent="0.25">
      <c r="A26" s="10" t="s">
        <v>59</v>
      </c>
      <c r="D26" s="12">
        <f>D25/1024</f>
        <v>430.10108984374995</v>
      </c>
      <c r="G26" s="12">
        <f>G25/1024</f>
        <v>541.284646484375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SimpleChart (2)</vt:lpstr>
      <vt:lpstr>SimpleChart</vt:lpstr>
      <vt:lpstr>Summary</vt:lpstr>
      <vt:lpstr>Hive_1.1.0_1TB</vt:lpstr>
      <vt:lpstr>Hive_0.13.1_default</vt:lpstr>
      <vt:lpstr>Hive_0.13.1_Snappy</vt:lpstr>
      <vt:lpstr>Hive_0.13.1_Uncompressed</vt:lpstr>
      <vt:lpstr>Hive_0.13.1_Snappy!MetastoreSnappy</vt:lpstr>
      <vt:lpstr>Hive_0.13.1_Uncompressed!MetastoreUncompressed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Todor Ivanov</dc:creator>
  <cp:lastModifiedBy>Todor Ivanov</cp:lastModifiedBy>
  <cp:lastPrinted>2017-09-05T14:07:02Z</cp:lastPrinted>
  <dcterms:created xsi:type="dcterms:W3CDTF">2016-05-12T13:18:19Z</dcterms:created>
  <dcterms:modified xsi:type="dcterms:W3CDTF">2018-09-12T12:32:45Z</dcterms:modified>
</cp:coreProperties>
</file>