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<sst xmlns="http://schemas.openxmlformats.org/spreadsheetml/2006/main" count="9476" uniqueCount="5102">
  <si>
    <t>State</t>
  </si>
  <si>
    <t>County [2]</t>
  </si>
  <si>
    <t>Population
(2010)</t>
  </si>
  <si>
    <t>Latitude</t>
  </si>
  <si>
    <t>Longitude</t>
  </si>
  <si>
    <t>AL</t>
  </si>
  <si>
    <t>Autauga</t>
  </si>
  <si>
    <t>32.536382°</t>
  </si>
  <si>
    <t>–86.644490°</t>
  </si>
  <si>
    <t>Baldwin</t>
  </si>
  <si>
    <t>30.659218°</t>
  </si>
  <si>
    <t>–87.746067°</t>
  </si>
  <si>
    <t>Barbour</t>
  </si>
  <si>
    <t>31.870670°</t>
  </si>
  <si>
    <t>–85.405456°</t>
  </si>
  <si>
    <t>Bibb</t>
  </si>
  <si>
    <t>33.015893°</t>
  </si>
  <si>
    <t>–87.127148°</t>
  </si>
  <si>
    <t>Blount</t>
  </si>
  <si>
    <t>33.977448°</t>
  </si>
  <si>
    <t>–86.567246°</t>
  </si>
  <si>
    <t>Bullock</t>
  </si>
  <si>
    <t>32.101759°</t>
  </si>
  <si>
    <t>–85.717261°</t>
  </si>
  <si>
    <t>Butler</t>
  </si>
  <si>
    <t>31.751667°</t>
  </si>
  <si>
    <t>–86.681969°</t>
  </si>
  <si>
    <t>Calhoun</t>
  </si>
  <si>
    <t>33.771706°</t>
  </si>
  <si>
    <t>–85.822513°</t>
  </si>
  <si>
    <t>Chambers</t>
  </si>
  <si>
    <t>32.917943°</t>
  </si>
  <si>
    <t>–85.391812°</t>
  </si>
  <si>
    <t>Chilton</t>
  </si>
  <si>
    <t>32.854060°</t>
  </si>
  <si>
    <t>–86.726628°</t>
  </si>
  <si>
    <t>Choctaw</t>
  </si>
  <si>
    <t>31.991008°</t>
  </si>
  <si>
    <t>–88.248887°</t>
  </si>
  <si>
    <t>Clarke</t>
  </si>
  <si>
    <t>31.685521°</t>
  </si>
  <si>
    <t>–87.818624°</t>
  </si>
  <si>
    <t>Clay</t>
  </si>
  <si>
    <t>33.267809°</t>
  </si>
  <si>
    <t>–85.862051°</t>
  </si>
  <si>
    <t>Cleburne</t>
  </si>
  <si>
    <t>33.671981°</t>
  </si>
  <si>
    <t>–85.516109°</t>
  </si>
  <si>
    <t>Coffee</t>
  </si>
  <si>
    <t>31.402183°</t>
  </si>
  <si>
    <t>–85.989201°</t>
  </si>
  <si>
    <t>Colbert</t>
  </si>
  <si>
    <t>34.703112°</t>
  </si>
  <si>
    <t>–87.801457°</t>
  </si>
  <si>
    <t>Conecuh</t>
  </si>
  <si>
    <t>31.428293°</t>
  </si>
  <si>
    <t>–86.992029°</t>
  </si>
  <si>
    <t>Coosa</t>
  </si>
  <si>
    <t>32.931445°</t>
  </si>
  <si>
    <t>–86.243482°</t>
  </si>
  <si>
    <t>Covington</t>
  </si>
  <si>
    <t>31.243987°</t>
  </si>
  <si>
    <t>–86.448721°</t>
  </si>
  <si>
    <t>Crenshaw</t>
  </si>
  <si>
    <t>31.732826°</t>
  </si>
  <si>
    <t>–86.319222°</t>
  </si>
  <si>
    <t>Cullman</t>
  </si>
  <si>
    <t>34.131923°</t>
  </si>
  <si>
    <t>–86.869267°</t>
  </si>
  <si>
    <t>Dale</t>
  </si>
  <si>
    <t>31.430654°</t>
  </si>
  <si>
    <t>–85.609476°</t>
  </si>
  <si>
    <t>Dallas</t>
  </si>
  <si>
    <t>32.333540°</t>
  </si>
  <si>
    <t>–87.114356°</t>
  </si>
  <si>
    <t>DeKalb</t>
  </si>
  <si>
    <t>34.460929°</t>
  </si>
  <si>
    <t>–85.803992°</t>
  </si>
  <si>
    <t>Elmore</t>
  </si>
  <si>
    <t>32.597229°</t>
  </si>
  <si>
    <t>–86.142739°</t>
  </si>
  <si>
    <t>Escambia</t>
  </si>
  <si>
    <t>31.121748°</t>
  </si>
  <si>
    <t>–87.168429°</t>
  </si>
  <si>
    <t>Etowah</t>
  </si>
  <si>
    <t>34.047638°</t>
  </si>
  <si>
    <t>–86.034420°</t>
  </si>
  <si>
    <t>Fayette</t>
  </si>
  <si>
    <t>33.732249°</t>
  </si>
  <si>
    <t>–87.752049°</t>
  </si>
  <si>
    <t>Franklin</t>
  </si>
  <si>
    <t>34.441988°</t>
  </si>
  <si>
    <t>–87.842815°</t>
  </si>
  <si>
    <t>Geneva</t>
  </si>
  <si>
    <t>31.090866°</t>
  </si>
  <si>
    <t>–85.824346°</t>
  </si>
  <si>
    <t>Greene</t>
  </si>
  <si>
    <t>32.844497°</t>
  </si>
  <si>
    <t>–87.964201°</t>
  </si>
  <si>
    <t>Hale</t>
  </si>
  <si>
    <t>32.752796°</t>
  </si>
  <si>
    <t>–87.623061°</t>
  </si>
  <si>
    <t>Henry</t>
  </si>
  <si>
    <t>31.516978°</t>
  </si>
  <si>
    <t>–85.239971°</t>
  </si>
  <si>
    <t>Houston</t>
  </si>
  <si>
    <t>31.158193°</t>
  </si>
  <si>
    <t>–85.296398°</t>
  </si>
  <si>
    <t>Jackson</t>
  </si>
  <si>
    <t>34.763522°</t>
  </si>
  <si>
    <t>–85.977400°</t>
  </si>
  <si>
    <t>Jefferson</t>
  </si>
  <si>
    <t>33.553444°</t>
  </si>
  <si>
    <t>–86.896536°</t>
  </si>
  <si>
    <t>Lamar</t>
  </si>
  <si>
    <t>33.787085°</t>
  </si>
  <si>
    <t>–88.087431°</t>
  </si>
  <si>
    <t>Lauderdale</t>
  </si>
  <si>
    <t>34.904122°</t>
  </si>
  <si>
    <t>–87.650997°</t>
  </si>
  <si>
    <t>Lawrence</t>
  </si>
  <si>
    <t>34.529776°</t>
  </si>
  <si>
    <t>–87.321865°</t>
  </si>
  <si>
    <t>Lee</t>
  </si>
  <si>
    <t>32.604064°</t>
  </si>
  <si>
    <t>–85.353048°</t>
  </si>
  <si>
    <t>Limestone</t>
  </si>
  <si>
    <t>34.810239°</t>
  </si>
  <si>
    <t>–86.981400°</t>
  </si>
  <si>
    <t>Lowndes</t>
  </si>
  <si>
    <t>32.147888°</t>
  </si>
  <si>
    <t>–86.650586°</t>
  </si>
  <si>
    <t>Macon</t>
  </si>
  <si>
    <t>32.387027°</t>
  </si>
  <si>
    <t>–85.692887°</t>
  </si>
  <si>
    <t>Madison</t>
  </si>
  <si>
    <t>34.764238°</t>
  </si>
  <si>
    <t>–86.551080°</t>
  </si>
  <si>
    <t>Marengo</t>
  </si>
  <si>
    <t>32.247591°</t>
  </si>
  <si>
    <t>–87.791091°</t>
  </si>
  <si>
    <t>Marion</t>
  </si>
  <si>
    <t>–87.881551°</t>
  </si>
  <si>
    <t>Marshall</t>
  </si>
  <si>
    <t>–86.321668°</t>
  </si>
  <si>
    <t>Mobile</t>
  </si>
  <si>
    <t>–88.196568°</t>
  </si>
  <si>
    <t>Monroe</t>
  </si>
  <si>
    <t>–87.383266°</t>
  </si>
  <si>
    <t>Montgomery</t>
  </si>
  <si>
    <t>–86.203831°</t>
  </si>
  <si>
    <t>Morgan</t>
  </si>
  <si>
    <t>–86.846402°</t>
  </si>
  <si>
    <t>Perry</t>
  </si>
  <si>
    <t>–87.293827°</t>
  </si>
  <si>
    <t>Pickens</t>
  </si>
  <si>
    <t>–88.096878°</t>
  </si>
  <si>
    <t>Pike</t>
  </si>
  <si>
    <t>–85.941997°</t>
  </si>
  <si>
    <t>Randolph</t>
  </si>
  <si>
    <t>–85.464068°</t>
  </si>
  <si>
    <t>Russell</t>
  </si>
  <si>
    <t>–85.186980°</t>
  </si>
  <si>
    <t>St. Clair</t>
  </si>
  <si>
    <t>–86.315663°</t>
  </si>
  <si>
    <t>Shelby</t>
  </si>
  <si>
    <t>–86.678104°</t>
  </si>
  <si>
    <t>Sumter</t>
  </si>
  <si>
    <t>–88.200057°</t>
  </si>
  <si>
    <t>Talladega</t>
  </si>
  <si>
    <t>–86.175805°</t>
  </si>
  <si>
    <t>Tallapoosa</t>
  </si>
  <si>
    <t>–85.799553°</t>
  </si>
  <si>
    <t>Tuscaloosa</t>
  </si>
  <si>
    <t>–87.522860°</t>
  </si>
  <si>
    <t>Walker</t>
  </si>
  <si>
    <t>–87.301092°</t>
  </si>
  <si>
    <t>Washington</t>
  </si>
  <si>
    <t>–88.202078°</t>
  </si>
  <si>
    <t>Wilcox</t>
  </si>
  <si>
    <t>–87.302205°</t>
  </si>
  <si>
    <t>Winston</t>
  </si>
  <si>
    <t>–87.364147°</t>
  </si>
  <si>
    <t>AK</t>
  </si>
  <si>
    <t>Aleutians East</t>
  </si>
  <si>
    <t>–161.950749°</t>
  </si>
  <si>
    <t>Aleutians West [4]</t>
  </si>
  <si>
    <t>–178.338813°</t>
  </si>
  <si>
    <t>Anchorage</t>
  </si>
  <si>
    <t>–149.274354°</t>
  </si>
  <si>
    <t>Bethel [4]</t>
  </si>
  <si>
    <t>–160.153350°</t>
  </si>
  <si>
    <t>Bristol Bay</t>
  </si>
  <si>
    <t>–156.986612°</t>
  </si>
  <si>
    <t>Denali</t>
  </si>
  <si>
    <t>–150.026719°</t>
  </si>
  <si>
    <t>Dillingham [4]</t>
  </si>
  <si>
    <t>–158.602233°</t>
  </si>
  <si>
    <t>Fairbanks North Star</t>
  </si>
  <si>
    <t>–146.599867°</t>
  </si>
  <si>
    <t>Haines</t>
  </si>
  <si>
    <t>–135.578102°</t>
  </si>
  <si>
    <t>Hoonah-Angoon [4]</t>
  </si>
  <si>
    <t>–135.185100°</t>
  </si>
  <si>
    <t>Juneau</t>
  </si>
  <si>
    <t>–134.178781°</t>
  </si>
  <si>
    <t>Kenai Peninsula</t>
  </si>
  <si>
    <t>–152.321973°</t>
  </si>
  <si>
    <t>Ketchikan Gateway</t>
  </si>
  <si>
    <t>–131.106685°</t>
  </si>
  <si>
    <t>Kodiak Island</t>
  </si>
  <si>
    <t>–153.630911°</t>
  </si>
  <si>
    <t>Lake and Peninsula</t>
  </si>
  <si>
    <t>–156.705188°</t>
  </si>
  <si>
    <t>Matanuska-Susitna</t>
  </si>
  <si>
    <t>–149.407974°</t>
  </si>
  <si>
    <t>Nome [4]</t>
  </si>
  <si>
    <t>–164.188912°</t>
  </si>
  <si>
    <t>North Slope</t>
  </si>
  <si>
    <t>–153.472830°</t>
  </si>
  <si>
    <t>Northwest Arctic</t>
  </si>
  <si>
    <t>–160.021086°</t>
  </si>
  <si>
    <t>Petersburg [4]</t>
  </si>
  <si>
    <t>–133.527996°</t>
  </si>
  <si>
    <t>Prince of Wales-Hyder [4]</t>
  </si>
  <si>
    <t>–132.875734°</t>
  </si>
  <si>
    <t>Sitka</t>
  </si>
  <si>
    <t>–135.332624°</t>
  </si>
  <si>
    <t>Skagway</t>
  </si>
  <si>
    <t>–135.335418°</t>
  </si>
  <si>
    <t>Southeast Fairbanks [4]</t>
  </si>
  <si>
    <t>–143.218628°</t>
  </si>
  <si>
    <t>Valdez-Cordova [4]</t>
  </si>
  <si>
    <t>–145.023141°</t>
  </si>
  <si>
    <t>Wade Hampton [4]</t>
  </si>
  <si>
    <t>–163.190950°</t>
  </si>
  <si>
    <t>Wrangell</t>
  </si>
  <si>
    <t>–132.040326°</t>
  </si>
  <si>
    <t>Yakutat</t>
  </si>
  <si>
    <t>–140.239593°</t>
  </si>
  <si>
    <t>Yukon-Koyukuk [4]</t>
  </si>
  <si>
    <t>–151.576855°</t>
  </si>
  <si>
    <t>AZ</t>
  </si>
  <si>
    <t>Apache</t>
  </si>
  <si>
    <t>–109.493747°</t>
  </si>
  <si>
    <t>Cochise</t>
  </si>
  <si>
    <t>–109.754120°</t>
  </si>
  <si>
    <t>Coconino</t>
  </si>
  <si>
    <t>–111.773728°</t>
  </si>
  <si>
    <t>Gila</t>
  </si>
  <si>
    <t>–110.811870°</t>
  </si>
  <si>
    <t>Graham</t>
  </si>
  <si>
    <t>–109.878310°</t>
  </si>
  <si>
    <t>Greenlee</t>
  </si>
  <si>
    <t>–109.242323°</t>
  </si>
  <si>
    <t>La Paz</t>
  </si>
  <si>
    <t>–114.038793°</t>
  </si>
  <si>
    <t>Maricopa</t>
  </si>
  <si>
    <t>–112.495534°</t>
  </si>
  <si>
    <t>Mohave</t>
  </si>
  <si>
    <t>–113.749689°</t>
  </si>
  <si>
    <t>Navajo</t>
  </si>
  <si>
    <t>–110.320908°</t>
  </si>
  <si>
    <t>Pima</t>
  </si>
  <si>
    <t>–111.783018°</t>
  </si>
  <si>
    <t>Pinal</t>
  </si>
  <si>
    <t>–111.367257°</t>
  </si>
  <si>
    <t>Santa Cruz</t>
  </si>
  <si>
    <t>–110.845190°</t>
  </si>
  <si>
    <t>Yavapai</t>
  </si>
  <si>
    <t>–112.573745°</t>
  </si>
  <si>
    <t>Yuma</t>
  </si>
  <si>
    <t>–113.910905°</t>
  </si>
  <si>
    <t>AR</t>
  </si>
  <si>
    <t>Arkansas</t>
  </si>
  <si>
    <t>–91.376547°</t>
  </si>
  <si>
    <t>Ashley</t>
  </si>
  <si>
    <t>–91.772267°</t>
  </si>
  <si>
    <t>Baxter</t>
  </si>
  <si>
    <t>–92.330438°</t>
  </si>
  <si>
    <t>Benton</t>
  </si>
  <si>
    <t>–94.256187°</t>
  </si>
  <si>
    <t>Boone</t>
  </si>
  <si>
    <t>–93.079204°</t>
  </si>
  <si>
    <t>Bradley</t>
  </si>
  <si>
    <t>–92.168164°</t>
  </si>
  <si>
    <t>–92.513879°</t>
  </si>
  <si>
    <t>Carroll</t>
  </si>
  <si>
    <t>–93.541663°</t>
  </si>
  <si>
    <t>Chicot</t>
  </si>
  <si>
    <t>–91.297158°</t>
  </si>
  <si>
    <t>Clark</t>
  </si>
  <si>
    <t>–93.176205°</t>
  </si>
  <si>
    <t>–90.418704°</t>
  </si>
  <si>
    <t>–92.059974°</t>
  </si>
  <si>
    <t>Cleveland</t>
  </si>
  <si>
    <t>–92.188714°</t>
  </si>
  <si>
    <t>Columbia</t>
  </si>
  <si>
    <t>–93.226901°</t>
  </si>
  <si>
    <t>Conway</t>
  </si>
  <si>
    <t>–92.689248°</t>
  </si>
  <si>
    <t>Craighead</t>
  </si>
  <si>
    <t>–90.630411°</t>
  </si>
  <si>
    <t>Crawford</t>
  </si>
  <si>
    <t>–94.236224°</t>
  </si>
  <si>
    <t>Crittenden</t>
  </si>
  <si>
    <t>–90.315331°</t>
  </si>
  <si>
    <t>Cross</t>
  </si>
  <si>
    <t>–90.773894°</t>
  </si>
  <si>
    <t>–92.653999°</t>
  </si>
  <si>
    <t>Desha</t>
  </si>
  <si>
    <t>–91.244427°</t>
  </si>
  <si>
    <t>Drew</t>
  </si>
  <si>
    <t>–91.722778°</t>
  </si>
  <si>
    <t>Faulkner</t>
  </si>
  <si>
    <t>–92.324654°</t>
  </si>
  <si>
    <t>–93.887672°</t>
  </si>
  <si>
    <t>Fulton</t>
  </si>
  <si>
    <t>–91.819239°</t>
  </si>
  <si>
    <t>Garland</t>
  </si>
  <si>
    <t>–93.146915°</t>
  </si>
  <si>
    <t>Grant</t>
  </si>
  <si>
    <t>–92.423984°</t>
  </si>
  <si>
    <t>–90.565241°</t>
  </si>
  <si>
    <t>Hempstead</t>
  </si>
  <si>
    <t>–93.665809°</t>
  </si>
  <si>
    <t>Hot Spring</t>
  </si>
  <si>
    <t>–92.944147°</t>
  </si>
  <si>
    <t>Howard</t>
  </si>
  <si>
    <t>–93.990988°</t>
  </si>
  <si>
    <t>Independence</t>
  </si>
  <si>
    <t>–91.559942°</t>
  </si>
  <si>
    <t>Izard</t>
  </si>
  <si>
    <t>–91.913625°</t>
  </si>
  <si>
    <t>–91.223178°</t>
  </si>
  <si>
    <t>–91.930701°</t>
  </si>
  <si>
    <t>Johnson</t>
  </si>
  <si>
    <t>–93.466322°</t>
  </si>
  <si>
    <t>Lafayette</t>
  </si>
  <si>
    <t>–93.611643°</t>
  </si>
  <si>
    <t>–91.101153°</t>
  </si>
  <si>
    <t>–90.779288°</t>
  </si>
  <si>
    <t>Lincoln</t>
  </si>
  <si>
    <t>–91.727624°</t>
  </si>
  <si>
    <t>Little River</t>
  </si>
  <si>
    <t>–94.229774°</t>
  </si>
  <si>
    <t>Logan</t>
  </si>
  <si>
    <t>–93.720563°</t>
  </si>
  <si>
    <t>Lonoke</t>
  </si>
  <si>
    <t>–91.894132°</t>
  </si>
  <si>
    <t>–93.724053°</t>
  </si>
  <si>
    <t>–92.678588°</t>
  </si>
  <si>
    <t>Miller</t>
  </si>
  <si>
    <t>–93.901509°</t>
  </si>
  <si>
    <t>Mississippi</t>
  </si>
  <si>
    <t>–90.052209°</t>
  </si>
  <si>
    <t>–91.203314°</t>
  </si>
  <si>
    <t>–93.664147°</t>
  </si>
  <si>
    <t>Nevada</t>
  </si>
  <si>
    <t>–93.305072°</t>
  </si>
  <si>
    <t>Newton</t>
  </si>
  <si>
    <t>–93.215084°</t>
  </si>
  <si>
    <t>Ouachita</t>
  </si>
  <si>
    <t>–92.878418°</t>
  </si>
  <si>
    <t>–92.926877°</t>
  </si>
  <si>
    <t>Phillips</t>
  </si>
  <si>
    <t>–90.848386°</t>
  </si>
  <si>
    <t>–93.658659°</t>
  </si>
  <si>
    <t>Poinsett</t>
  </si>
  <si>
    <t>–90.680595°</t>
  </si>
  <si>
    <t>Polk</t>
  </si>
  <si>
    <t>–94.230884°</t>
  </si>
  <si>
    <t>Pope</t>
  </si>
  <si>
    <t>–93.031535°</t>
  </si>
  <si>
    <t>Prairie</t>
  </si>
  <si>
    <t>–91.557200°</t>
  </si>
  <si>
    <t>Pulaski</t>
  </si>
  <si>
    <t>–92.316515°</t>
  </si>
  <si>
    <t>–91.028441°</t>
  </si>
  <si>
    <t>St. Francis</t>
  </si>
  <si>
    <t>–90.742199°</t>
  </si>
  <si>
    <t>Saline</t>
  </si>
  <si>
    <t>–92.674463°</t>
  </si>
  <si>
    <t>Scott</t>
  </si>
  <si>
    <t>–94.063641°</t>
  </si>
  <si>
    <t>Searcy</t>
  </si>
  <si>
    <t>–92.699351°</t>
  </si>
  <si>
    <t>Sebastian</t>
  </si>
  <si>
    <t>–94.274989°</t>
  </si>
  <si>
    <t>Sevier</t>
  </si>
  <si>
    <t>–94.243290°</t>
  </si>
  <si>
    <t>Sharp</t>
  </si>
  <si>
    <t>–91.471069°</t>
  </si>
  <si>
    <t>Stone</t>
  </si>
  <si>
    <t>–92.140494°</t>
  </si>
  <si>
    <t>Union</t>
  </si>
  <si>
    <t>–92.598145°</t>
  </si>
  <si>
    <t>Van Buren</t>
  </si>
  <si>
    <t>–92.515977°</t>
  </si>
  <si>
    <t>–94.218417°</t>
  </si>
  <si>
    <t>White</t>
  </si>
  <si>
    <t>–91.753158°</t>
  </si>
  <si>
    <t>Woodruff</t>
  </si>
  <si>
    <t>–91.244418°</t>
  </si>
  <si>
    <t>Yell</t>
  </si>
  <si>
    <t>–93.408303°</t>
  </si>
  <si>
    <t>CA</t>
  </si>
  <si>
    <t>Alameda</t>
  </si>
  <si>
    <t>–121.913304°</t>
  </si>
  <si>
    <t>Alpine</t>
  </si>
  <si>
    <t>–119.798999°</t>
  </si>
  <si>
    <t>Amador</t>
  </si>
  <si>
    <t>–120.653856°</t>
  </si>
  <si>
    <t>Butte</t>
  </si>
  <si>
    <t>–121.601919°</t>
  </si>
  <si>
    <t>Calaveras</t>
  </si>
  <si>
    <t>–120.555115°</t>
  </si>
  <si>
    <t>Colusa</t>
  </si>
  <si>
    <t>–122.237563°</t>
  </si>
  <si>
    <t>Contra Costa</t>
  </si>
  <si>
    <t>–121.951543°</t>
  </si>
  <si>
    <t>Del Norte</t>
  </si>
  <si>
    <t>–123.980998°</t>
  </si>
  <si>
    <t>El Dorado</t>
  </si>
  <si>
    <t>–120.534398°</t>
  </si>
  <si>
    <t>Fresno</t>
  </si>
  <si>
    <t>–119.655019°</t>
  </si>
  <si>
    <t>Glenn</t>
  </si>
  <si>
    <t>–122.401700°</t>
  </si>
  <si>
    <t>Humboldt</t>
  </si>
  <si>
    <t>–123.925818°</t>
  </si>
  <si>
    <t>Imperial</t>
  </si>
  <si>
    <t>–115.355395°</t>
  </si>
  <si>
    <t>Inyo</t>
  </si>
  <si>
    <t>–117.403927°</t>
  </si>
  <si>
    <t>Kern</t>
  </si>
  <si>
    <t>–118.729506°</t>
  </si>
  <si>
    <t>Kings</t>
  </si>
  <si>
    <t>–119.815530°</t>
  </si>
  <si>
    <t>Lake</t>
  </si>
  <si>
    <t>–122.746757°</t>
  </si>
  <si>
    <t>Lassen</t>
  </si>
  <si>
    <t>–120.629931°</t>
  </si>
  <si>
    <t>Los Angeles</t>
  </si>
  <si>
    <t>–118.261862°</t>
  </si>
  <si>
    <t>Madera</t>
  </si>
  <si>
    <t>–119.749852°</t>
  </si>
  <si>
    <t>Marin</t>
  </si>
  <si>
    <t>–122.745974°</t>
  </si>
  <si>
    <t>Mariposa</t>
  </si>
  <si>
    <t>–119.912860°</t>
  </si>
  <si>
    <t>Mendocino</t>
  </si>
  <si>
    <t>–123.442881°</t>
  </si>
  <si>
    <t>Merced</t>
  </si>
  <si>
    <t>–120.722802°</t>
  </si>
  <si>
    <t>Modoc</t>
  </si>
  <si>
    <t>–120.718370°</t>
  </si>
  <si>
    <t>Mono</t>
  </si>
  <si>
    <t>–118.875167°</t>
  </si>
  <si>
    <t>Monterey</t>
  </si>
  <si>
    <t>–121.315573°</t>
  </si>
  <si>
    <t>Napa</t>
  </si>
  <si>
    <t>–122.325995°</t>
  </si>
  <si>
    <t>–120.773446°</t>
  </si>
  <si>
    <t>Orange</t>
  </si>
  <si>
    <t>–117.777207°</t>
  </si>
  <si>
    <t>Placer</t>
  </si>
  <si>
    <t>–120.722718°</t>
  </si>
  <si>
    <t>Plumas</t>
  </si>
  <si>
    <t>–120.829516°</t>
  </si>
  <si>
    <t>Riverside</t>
  </si>
  <si>
    <t>–116.002239°</t>
  </si>
  <si>
    <t>Sacramento</t>
  </si>
  <si>
    <t>–121.340441°</t>
  </si>
  <si>
    <t>San Benito</t>
  </si>
  <si>
    <t>–121.085296°</t>
  </si>
  <si>
    <t>San Bernardino</t>
  </si>
  <si>
    <t>–116.181197°</t>
  </si>
  <si>
    <t>San Diego</t>
  </si>
  <si>
    <t>–116.776117°</t>
  </si>
  <si>
    <t>San Francisco</t>
  </si>
  <si>
    <t>–123.032229°</t>
  </si>
  <si>
    <t>San Joaquin</t>
  </si>
  <si>
    <t>–121.272237°</t>
  </si>
  <si>
    <t>San Luis Obispo</t>
  </si>
  <si>
    <t>–120.447540°</t>
  </si>
  <si>
    <t>San Mateo</t>
  </si>
  <si>
    <t>–122.371542°</t>
  </si>
  <si>
    <t>Santa Barbara</t>
  </si>
  <si>
    <t>–120.038485°</t>
  </si>
  <si>
    <t>Santa Clara</t>
  </si>
  <si>
    <t>–121.690622°</t>
  </si>
  <si>
    <t>–122.007205°</t>
  </si>
  <si>
    <t>Shasta</t>
  </si>
  <si>
    <t>–122.043550°</t>
  </si>
  <si>
    <t>Sierra</t>
  </si>
  <si>
    <t>–120.521993°</t>
  </si>
  <si>
    <t>Siskiyou</t>
  </si>
  <si>
    <t>–122.533287°</t>
  </si>
  <si>
    <t>Solano</t>
  </si>
  <si>
    <t>–121.939594°</t>
  </si>
  <si>
    <t>Sonoma</t>
  </si>
  <si>
    <t>–122.945194°</t>
  </si>
  <si>
    <t>Stanislaus</t>
  </si>
  <si>
    <t>–121.002656°</t>
  </si>
  <si>
    <t>Sutter</t>
  </si>
  <si>
    <t>–121.702758°</t>
  </si>
  <si>
    <t>Tehama</t>
  </si>
  <si>
    <t>–122.232276°</t>
  </si>
  <si>
    <t>Trinity</t>
  </si>
  <si>
    <t>–123.114404°</t>
  </si>
  <si>
    <t>Tulare</t>
  </si>
  <si>
    <t>–118.780542°</t>
  </si>
  <si>
    <t>Tuolumne</t>
  </si>
  <si>
    <t>–119.964708°</t>
  </si>
  <si>
    <t>Ventura</t>
  </si>
  <si>
    <t>–119.133143°</t>
  </si>
  <si>
    <t>Yolo</t>
  </si>
  <si>
    <t>–121.903178°</t>
  </si>
  <si>
    <t>Yuba</t>
  </si>
  <si>
    <t>–121.344280°</t>
  </si>
  <si>
    <t>CO</t>
  </si>
  <si>
    <t>Adams</t>
  </si>
  <si>
    <t>–104.331872°</t>
  </si>
  <si>
    <t>Alamosa</t>
  </si>
  <si>
    <t>–105.788041°</t>
  </si>
  <si>
    <t>Arapahoe</t>
  </si>
  <si>
    <t>–104.331733°</t>
  </si>
  <si>
    <t>Archuleta</t>
  </si>
  <si>
    <t>–107.050863°</t>
  </si>
  <si>
    <t>Baca</t>
  </si>
  <si>
    <t>–102.535457°</t>
  </si>
  <si>
    <t>Bent</t>
  </si>
  <si>
    <t>–103.077584°</t>
  </si>
  <si>
    <t>Boulder</t>
  </si>
  <si>
    <t>–105.398382°</t>
  </si>
  <si>
    <t>Broomfield</t>
  </si>
  <si>
    <t>–105.052125°</t>
  </si>
  <si>
    <t>Chaffee</t>
  </si>
  <si>
    <t>–106.316972°</t>
  </si>
  <si>
    <t>Cheyenne</t>
  </si>
  <si>
    <t>–102.604585°</t>
  </si>
  <si>
    <t>Clear Creek</t>
  </si>
  <si>
    <t>–105.670791°</t>
  </si>
  <si>
    <t>Conejos</t>
  </si>
  <si>
    <t>–106.176447°</t>
  </si>
  <si>
    <t>Costilla</t>
  </si>
  <si>
    <t>–105.428940°</t>
  </si>
  <si>
    <t>Crowley</t>
  </si>
  <si>
    <t>–103.787562°</t>
  </si>
  <si>
    <t>Custer</t>
  </si>
  <si>
    <t>–105.373515°</t>
  </si>
  <si>
    <t>Delta</t>
  </si>
  <si>
    <t>–107.864757°</t>
  </si>
  <si>
    <t>Denver</t>
  </si>
  <si>
    <t>–104.880625°</t>
  </si>
  <si>
    <t>Dolores</t>
  </si>
  <si>
    <t>–108.530383°</t>
  </si>
  <si>
    <t>Douglas</t>
  </si>
  <si>
    <t>–104.926199°</t>
  </si>
  <si>
    <t>Eagle</t>
  </si>
  <si>
    <t>–106.692944°</t>
  </si>
  <si>
    <t>Elbert</t>
  </si>
  <si>
    <t>–104.117928°</t>
  </si>
  <si>
    <t>El Paso</t>
  </si>
  <si>
    <t>–104.527472°</t>
  </si>
  <si>
    <t>Fremont</t>
  </si>
  <si>
    <t>–105.421438°</t>
  </si>
  <si>
    <t>Garfield</t>
  </si>
  <si>
    <t>–107.909780°</t>
  </si>
  <si>
    <t>Gilpin</t>
  </si>
  <si>
    <t>–105.528947°</t>
  </si>
  <si>
    <t>Grand</t>
  </si>
  <si>
    <t>–106.095876°</t>
  </si>
  <si>
    <t>Gunnison</t>
  </si>
  <si>
    <t>–107.078108°</t>
  </si>
  <si>
    <t>Hinsdale</t>
  </si>
  <si>
    <t>–107.383405°</t>
  </si>
  <si>
    <t>Huerfano</t>
  </si>
  <si>
    <t>–104.959928°</t>
  </si>
  <si>
    <t>–106.329248°</t>
  </si>
  <si>
    <t>–105.245601°</t>
  </si>
  <si>
    <t>Kiowa</t>
  </si>
  <si>
    <t>–102.756210°</t>
  </si>
  <si>
    <t>Kit Carson</t>
  </si>
  <si>
    <t>–102.603023°</t>
  </si>
  <si>
    <t>–106.349696°</t>
  </si>
  <si>
    <t>La Plata</t>
  </si>
  <si>
    <t>–107.839718°</t>
  </si>
  <si>
    <t>Larimer</t>
  </si>
  <si>
    <t>–105.482131°</t>
  </si>
  <si>
    <t>Las Animas</t>
  </si>
  <si>
    <t>–104.044110°</t>
  </si>
  <si>
    <t>–103.507555°</t>
  </si>
  <si>
    <t>–103.090464°</t>
  </si>
  <si>
    <t>Mesa</t>
  </si>
  <si>
    <t>–108.461837°</t>
  </si>
  <si>
    <t>Mineral</t>
  </si>
  <si>
    <t>–106.932300°</t>
  </si>
  <si>
    <t>Moffat</t>
  </si>
  <si>
    <t>–108.204521°</t>
  </si>
  <si>
    <t>Montezuma</t>
  </si>
  <si>
    <t>–108.595786°</t>
  </si>
  <si>
    <t>Montrose</t>
  </si>
  <si>
    <t>–108.263042°</t>
  </si>
  <si>
    <t>–103.807092°</t>
  </si>
  <si>
    <t>Otero</t>
  </si>
  <si>
    <t>–103.721260°</t>
  </si>
  <si>
    <t>Ouray</t>
  </si>
  <si>
    <t>–107.767133°</t>
  </si>
  <si>
    <t>Park</t>
  </si>
  <si>
    <t>–105.717648°</t>
  </si>
  <si>
    <t>–102.345105°</t>
  </si>
  <si>
    <t>Pitkin</t>
  </si>
  <si>
    <t>–106.915943°</t>
  </si>
  <si>
    <t>Prowers</t>
  </si>
  <si>
    <t>–102.392161°</t>
  </si>
  <si>
    <t>Pueblo</t>
  </si>
  <si>
    <t>–104.489893°</t>
  </si>
  <si>
    <t>Rio Blanco</t>
  </si>
  <si>
    <t>–108.200685°</t>
  </si>
  <si>
    <t>Rio Grande</t>
  </si>
  <si>
    <t>–106.453214°</t>
  </si>
  <si>
    <t>Routt</t>
  </si>
  <si>
    <t>–106.985289°</t>
  </si>
  <si>
    <t>Saguache</t>
  </si>
  <si>
    <t>–106.246675°</t>
  </si>
  <si>
    <t>San Juan</t>
  </si>
  <si>
    <t>–107.670257°</t>
  </si>
  <si>
    <t>San Miguel</t>
  </si>
  <si>
    <t>–108.427326°</t>
  </si>
  <si>
    <t>Sedgwick</t>
  </si>
  <si>
    <t>–102.355358°</t>
  </si>
  <si>
    <t>Summit</t>
  </si>
  <si>
    <t>–106.137555°</t>
  </si>
  <si>
    <t>Teller</t>
  </si>
  <si>
    <t>–105.182552°</t>
  </si>
  <si>
    <t>–103.209605°</t>
  </si>
  <si>
    <t>Weld</t>
  </si>
  <si>
    <t>–104.383649°</t>
  </si>
  <si>
    <t>–102.422649°</t>
  </si>
  <si>
    <t>CT</t>
  </si>
  <si>
    <t>Fairfield [6]</t>
  </si>
  <si>
    <t>–73.366757°</t>
  </si>
  <si>
    <t>Hartford [6]</t>
  </si>
  <si>
    <t>–72.732916°</t>
  </si>
  <si>
    <t>Litchfield [6]</t>
  </si>
  <si>
    <t>–73.235428°</t>
  </si>
  <si>
    <t>Middlesex [6]</t>
  </si>
  <si>
    <t>–72.524227°</t>
  </si>
  <si>
    <t>New Haven [6]</t>
  </si>
  <si>
    <t>–72.900204°</t>
  </si>
  <si>
    <t>New London [6]</t>
  </si>
  <si>
    <t>–72.103452°</t>
  </si>
  <si>
    <t>Tolland [6]</t>
  </si>
  <si>
    <t>–72.340977°</t>
  </si>
  <si>
    <t>Windham [6]</t>
  </si>
  <si>
    <t>–71.990702°</t>
  </si>
  <si>
    <t>DE</t>
  </si>
  <si>
    <t>Kent</t>
  </si>
  <si>
    <t>–75.502982°</t>
  </si>
  <si>
    <t>New Castle</t>
  </si>
  <si>
    <t>–75.644132°</t>
  </si>
  <si>
    <t>Sussex</t>
  </si>
  <si>
    <t>–75.335495°</t>
  </si>
  <si>
    <t>DC</t>
  </si>
  <si>
    <t>District of Columbia [7]</t>
  </si>
  <si>
    <t>–77.017094°</t>
  </si>
  <si>
    <t>FL</t>
  </si>
  <si>
    <t>Alachua</t>
  </si>
  <si>
    <t>–82.357221°</t>
  </si>
  <si>
    <t>Baker</t>
  </si>
  <si>
    <t>–82.302284°</t>
  </si>
  <si>
    <t>Bay</t>
  </si>
  <si>
    <t>–85.631348°</t>
  </si>
  <si>
    <t>Bradford</t>
  </si>
  <si>
    <t>–82.166796°</t>
  </si>
  <si>
    <t>Brevard</t>
  </si>
  <si>
    <t>–80.700384°</t>
  </si>
  <si>
    <t>Broward</t>
  </si>
  <si>
    <t>–80.476658°</t>
  </si>
  <si>
    <t>–85.197916°</t>
  </si>
  <si>
    <t>Charlotte</t>
  </si>
  <si>
    <t>–81.940858°</t>
  </si>
  <si>
    <t>Citrus</t>
  </si>
  <si>
    <t>–82.524796°</t>
  </si>
  <si>
    <t>–81.858147°</t>
  </si>
  <si>
    <t>Collier</t>
  </si>
  <si>
    <t>–81.400884°</t>
  </si>
  <si>
    <t>–82.623127°</t>
  </si>
  <si>
    <t>DeSoto</t>
  </si>
  <si>
    <t>–81.806253°</t>
  </si>
  <si>
    <t>Dixie</t>
  </si>
  <si>
    <t>–83.195666°</t>
  </si>
  <si>
    <t>Duval</t>
  </si>
  <si>
    <t>–81.648113°</t>
  </si>
  <si>
    <t>–87.339040°</t>
  </si>
  <si>
    <t>Flagler</t>
  </si>
  <si>
    <t>–81.286362°</t>
  </si>
  <si>
    <t>–84.799174°</t>
  </si>
  <si>
    <t>Gadsden</t>
  </si>
  <si>
    <t>–84.612783°</t>
  </si>
  <si>
    <t>Gilchrist</t>
  </si>
  <si>
    <t>–82.795801°</t>
  </si>
  <si>
    <t>Glades</t>
  </si>
  <si>
    <t>–81.190820°</t>
  </si>
  <si>
    <t>Gulf</t>
  </si>
  <si>
    <t>–85.256537°</t>
  </si>
  <si>
    <t>Hamilton</t>
  </si>
  <si>
    <t>–82.951049°</t>
  </si>
  <si>
    <t>Hardee</t>
  </si>
  <si>
    <t>–81.821580°</t>
  </si>
  <si>
    <t>Hendry</t>
  </si>
  <si>
    <t>–81.151584°</t>
  </si>
  <si>
    <t>Hernando</t>
  </si>
  <si>
    <t>–82.464835°</t>
  </si>
  <si>
    <t>Highlands</t>
  </si>
  <si>
    <t>–81.340921°</t>
  </si>
  <si>
    <t>Hillsborough</t>
  </si>
  <si>
    <t>–82.349568°</t>
  </si>
  <si>
    <t>Holmes</t>
  </si>
  <si>
    <t>–85.812959°</t>
  </si>
  <si>
    <t>Indian River</t>
  </si>
  <si>
    <t>–80.574803°</t>
  </si>
  <si>
    <t>–85.210374°</t>
  </si>
  <si>
    <t>–83.890859°</t>
  </si>
  <si>
    <t>–83.178510°</t>
  </si>
  <si>
    <t>–81.712282°</t>
  </si>
  <si>
    <t>–81.892250°</t>
  </si>
  <si>
    <t>Leon</t>
  </si>
  <si>
    <t>–84.277800°</t>
  </si>
  <si>
    <t>Levy</t>
  </si>
  <si>
    <t>–82.783483°</t>
  </si>
  <si>
    <t>Liberty</t>
  </si>
  <si>
    <t>–84.868581°</t>
  </si>
  <si>
    <t>–83.470437°</t>
  </si>
  <si>
    <t>Manatee</t>
  </si>
  <si>
    <t>–82.365784°</t>
  </si>
  <si>
    <t>–82.043100°</t>
  </si>
  <si>
    <t>Martin</t>
  </si>
  <si>
    <t>–80.398211°</t>
  </si>
  <si>
    <t>Miami-Dade</t>
  </si>
  <si>
    <t>–80.499045°</t>
  </si>
  <si>
    <t>–81.206777°</t>
  </si>
  <si>
    <t>Nassau</t>
  </si>
  <si>
    <t>–81.764929°</t>
  </si>
  <si>
    <t>Okaloosa</t>
  </si>
  <si>
    <t>–86.594194°</t>
  </si>
  <si>
    <t>Okeechobee</t>
  </si>
  <si>
    <t>–80.887388°</t>
  </si>
  <si>
    <t>–81.323295°</t>
  </si>
  <si>
    <t>Osceola</t>
  </si>
  <si>
    <t>–81.139312°</t>
  </si>
  <si>
    <t>Palm Beach</t>
  </si>
  <si>
    <t>–80.448673°</t>
  </si>
  <si>
    <t>Pasco</t>
  </si>
  <si>
    <t>–82.455707°</t>
  </si>
  <si>
    <t>Pinellas</t>
  </si>
  <si>
    <t>–82.739518°</t>
  </si>
  <si>
    <t>–81.692783°</t>
  </si>
  <si>
    <t>Putnam</t>
  </si>
  <si>
    <t>–81.740894°</t>
  </si>
  <si>
    <t>St. Johns</t>
  </si>
  <si>
    <t>–81.383914°</t>
  </si>
  <si>
    <t>St. Lucie</t>
  </si>
  <si>
    <t>–80.443364°</t>
  </si>
  <si>
    <t>Santa Rosa</t>
  </si>
  <si>
    <t>–87.014255°</t>
  </si>
  <si>
    <t>Sarasota</t>
  </si>
  <si>
    <t>–82.365835°</t>
  </si>
  <si>
    <t>Seminole</t>
  </si>
  <si>
    <t>–81.131980°</t>
  </si>
  <si>
    <t>–82.074715°</t>
  </si>
  <si>
    <t>Suwannee</t>
  </si>
  <si>
    <t>–82.992754°</t>
  </si>
  <si>
    <t>Taylor</t>
  </si>
  <si>
    <t>–83.616417°</t>
  </si>
  <si>
    <t>–82.366918°</t>
  </si>
  <si>
    <t>Volusia</t>
  </si>
  <si>
    <t>–81.161813°</t>
  </si>
  <si>
    <t>Wakulla</t>
  </si>
  <si>
    <t>–84.375136°</t>
  </si>
  <si>
    <t>Walton</t>
  </si>
  <si>
    <t>–86.176614°</t>
  </si>
  <si>
    <t>–85.662797°</t>
  </si>
  <si>
    <t>GA</t>
  </si>
  <si>
    <t>Appling</t>
  </si>
  <si>
    <t>–82.290103°</t>
  </si>
  <si>
    <t>Atkinson</t>
  </si>
  <si>
    <t>–82.883614°</t>
  </si>
  <si>
    <t>Bacon</t>
  </si>
  <si>
    <t>–82.387859°</t>
  </si>
  <si>
    <t>–84.454857°</t>
  </si>
  <si>
    <t>–83.255362°</t>
  </si>
  <si>
    <t>Banks</t>
  </si>
  <si>
    <t>–83.498441°</t>
  </si>
  <si>
    <t>Barrow</t>
  </si>
  <si>
    <t>–83.712303°</t>
  </si>
  <si>
    <t>Bartow</t>
  </si>
  <si>
    <t>–84.838188°</t>
  </si>
  <si>
    <t>Ben Hill</t>
  </si>
  <si>
    <t>–83.147190°</t>
  </si>
  <si>
    <t>Berrien</t>
  </si>
  <si>
    <t>–83.231906°</t>
  </si>
  <si>
    <t>–83.694193°</t>
  </si>
  <si>
    <t>Bleckley</t>
  </si>
  <si>
    <t>–83.331717°</t>
  </si>
  <si>
    <t>Brantley</t>
  </si>
  <si>
    <t>–81.982978°</t>
  </si>
  <si>
    <t>Brooks</t>
  </si>
  <si>
    <t>–83.588971°</t>
  </si>
  <si>
    <t>Bryan</t>
  </si>
  <si>
    <t>–81.438543°</t>
  </si>
  <si>
    <t>Bulloch</t>
  </si>
  <si>
    <t>–81.743810°</t>
  </si>
  <si>
    <t>Burke</t>
  </si>
  <si>
    <t>–82.003890°</t>
  </si>
  <si>
    <t>Butts</t>
  </si>
  <si>
    <t>–83.958221°</t>
  </si>
  <si>
    <t>–84.626290°</t>
  </si>
  <si>
    <t>Camden</t>
  </si>
  <si>
    <t>–81.636516°</t>
  </si>
  <si>
    <t>Candler</t>
  </si>
  <si>
    <t>–82.071446°</t>
  </si>
  <si>
    <t>–85.080527°</t>
  </si>
  <si>
    <t>Catoosa</t>
  </si>
  <si>
    <t>–85.137353°</t>
  </si>
  <si>
    <t>Charlton</t>
  </si>
  <si>
    <t>–82.139644°</t>
  </si>
  <si>
    <t>Chatham</t>
  </si>
  <si>
    <t>–81.091768°</t>
  </si>
  <si>
    <t>Chattahoochee</t>
  </si>
  <si>
    <t>–84.788021°</t>
  </si>
  <si>
    <t>Chattooga</t>
  </si>
  <si>
    <t>–85.345289°</t>
  </si>
  <si>
    <t>Cherokee</t>
  </si>
  <si>
    <t>–84.475057°</t>
  </si>
  <si>
    <t>–83.367130°</t>
  </si>
  <si>
    <t>–84.992583°</t>
  </si>
  <si>
    <t>Clayton</t>
  </si>
  <si>
    <t>–84.412977°</t>
  </si>
  <si>
    <t>Clinch</t>
  </si>
  <si>
    <t>–82.702614°</t>
  </si>
  <si>
    <t>Cobb</t>
  </si>
  <si>
    <t>–84.574166°</t>
  </si>
  <si>
    <t>–82.844938°</t>
  </si>
  <si>
    <t>Colquitt</t>
  </si>
  <si>
    <t>–83.769741°</t>
  </si>
  <si>
    <t>–82.251342°</t>
  </si>
  <si>
    <t>Cook</t>
  </si>
  <si>
    <t>–83.429552°</t>
  </si>
  <si>
    <t>Coweta</t>
  </si>
  <si>
    <t>–84.762138°</t>
  </si>
  <si>
    <t>–83.979182°</t>
  </si>
  <si>
    <t>Crisp</t>
  </si>
  <si>
    <t>–83.753338°</t>
  </si>
  <si>
    <t>Dade</t>
  </si>
  <si>
    <t>–85.506201°</t>
  </si>
  <si>
    <t>Dawson</t>
  </si>
  <si>
    <t>–84.173284°</t>
  </si>
  <si>
    <t>Decatur</t>
  </si>
  <si>
    <t>–84.577744°</t>
  </si>
  <si>
    <t>–84.226343°</t>
  </si>
  <si>
    <t>Dodge</t>
  </si>
  <si>
    <t>–83.156818°</t>
  </si>
  <si>
    <t>Dooly</t>
  </si>
  <si>
    <t>–83.807167°</t>
  </si>
  <si>
    <t>Dougherty</t>
  </si>
  <si>
    <t>–84.214444°</t>
  </si>
  <si>
    <t>–84.765944°</t>
  </si>
  <si>
    <t>Early</t>
  </si>
  <si>
    <t>–84.906723°</t>
  </si>
  <si>
    <t>Echols</t>
  </si>
  <si>
    <t>–82.836132°</t>
  </si>
  <si>
    <t>Effingham</t>
  </si>
  <si>
    <t>–81.343337°</t>
  </si>
  <si>
    <t>–82.842057°</t>
  </si>
  <si>
    <t>Emanuel</t>
  </si>
  <si>
    <t>–82.299763°</t>
  </si>
  <si>
    <t>Evans</t>
  </si>
  <si>
    <t>–81.887618°</t>
  </si>
  <si>
    <t>Fannin</t>
  </si>
  <si>
    <t>–84.319287°</t>
  </si>
  <si>
    <t>–84.493941°</t>
  </si>
  <si>
    <t>Floyd</t>
  </si>
  <si>
    <t>–85.213730°</t>
  </si>
  <si>
    <t>Forsyth</t>
  </si>
  <si>
    <t>–84.127336°</t>
  </si>
  <si>
    <t>–83.227291°</t>
  </si>
  <si>
    <t>–84.468182°</t>
  </si>
  <si>
    <t>Gilmer</t>
  </si>
  <si>
    <t>–84.453984°</t>
  </si>
  <si>
    <t>Glascock</t>
  </si>
  <si>
    <t>–82.606913°</t>
  </si>
  <si>
    <t>Glynn</t>
  </si>
  <si>
    <t>–81.496517°</t>
  </si>
  <si>
    <t>Gordon</t>
  </si>
  <si>
    <t>–84.873862°</t>
  </si>
  <si>
    <t>Grady</t>
  </si>
  <si>
    <t>–84.244772°</t>
  </si>
  <si>
    <t>–83.167103°</t>
  </si>
  <si>
    <t>Gwinnett</t>
  </si>
  <si>
    <t>–84.022938°</t>
  </si>
  <si>
    <t>Habersham</t>
  </si>
  <si>
    <t>–83.526406°</t>
  </si>
  <si>
    <t>Hall</t>
  </si>
  <si>
    <t>–83.818497°</t>
  </si>
  <si>
    <t>Hancock</t>
  </si>
  <si>
    <t>–83.000465°</t>
  </si>
  <si>
    <t>Haralson</t>
  </si>
  <si>
    <t>–85.220062°</t>
  </si>
  <si>
    <t>Harris</t>
  </si>
  <si>
    <t>–84.912432°</t>
  </si>
  <si>
    <t>Hart</t>
  </si>
  <si>
    <t>–82.963290°</t>
  </si>
  <si>
    <t>Heard</t>
  </si>
  <si>
    <t>–85.139594°</t>
  </si>
  <si>
    <t>–84.154440°</t>
  </si>
  <si>
    <t>–83.662856°</t>
  </si>
  <si>
    <t>Irwin</t>
  </si>
  <si>
    <t>–83.277037°</t>
  </si>
  <si>
    <t>–83.565133°</t>
  </si>
  <si>
    <t>Jasper</t>
  </si>
  <si>
    <t>–83.687892°</t>
  </si>
  <si>
    <t>Jeff Davis</t>
  </si>
  <si>
    <t>–82.636825°</t>
  </si>
  <si>
    <t>–82.419050°</t>
  </si>
  <si>
    <t>Jenkins</t>
  </si>
  <si>
    <t>–81.971524°</t>
  </si>
  <si>
    <t>–82.661354°</t>
  </si>
  <si>
    <t>Jones</t>
  </si>
  <si>
    <t>–83.562339°</t>
  </si>
  <si>
    <t>–84.146721°</t>
  </si>
  <si>
    <t>Lanier</t>
  </si>
  <si>
    <t>–83.063164°</t>
  </si>
  <si>
    <t>Laurens</t>
  </si>
  <si>
    <t>–82.926317°</t>
  </si>
  <si>
    <t>–84.146681°</t>
  </si>
  <si>
    <t>–81.457969°</t>
  </si>
  <si>
    <t>–82.448299°</t>
  </si>
  <si>
    <t>Long</t>
  </si>
  <si>
    <t>–81.742870°</t>
  </si>
  <si>
    <t>–83.268967°</t>
  </si>
  <si>
    <t>Lumpkin</t>
  </si>
  <si>
    <t>–83.998828°</t>
  </si>
  <si>
    <t>McDuffie</t>
  </si>
  <si>
    <t>–82.473188°</t>
  </si>
  <si>
    <t>McIntosh</t>
  </si>
  <si>
    <t>–81.370199°</t>
  </si>
  <si>
    <t>–84.052162°</t>
  </si>
  <si>
    <t>–83.203637°</t>
  </si>
  <si>
    <t>–84.529561°</t>
  </si>
  <si>
    <t>Meriwether</t>
  </si>
  <si>
    <t>–84.663279°</t>
  </si>
  <si>
    <t>–84.730386°</t>
  </si>
  <si>
    <t>Mitchell</t>
  </si>
  <si>
    <t>–84.192407°</t>
  </si>
  <si>
    <t>–83.922938°</t>
  </si>
  <si>
    <t>–82.533349°</t>
  </si>
  <si>
    <t>–83.492324°</t>
  </si>
  <si>
    <t>Murray</t>
  </si>
  <si>
    <t>–84.737990°</t>
  </si>
  <si>
    <t>Muscogee</t>
  </si>
  <si>
    <t>–84.874946°</t>
  </si>
  <si>
    <t>–83.855189°</t>
  </si>
  <si>
    <t>Oconee</t>
  </si>
  <si>
    <t>–83.437728°</t>
  </si>
  <si>
    <t>Oglethorpe</t>
  </si>
  <si>
    <t>–83.074081°</t>
  </si>
  <si>
    <t>Paulding</t>
  </si>
  <si>
    <t>–84.866979°</t>
  </si>
  <si>
    <t>Peach</t>
  </si>
  <si>
    <t>–83.831978°</t>
  </si>
  <si>
    <t>–84.490256°</t>
  </si>
  <si>
    <t>Pierce</t>
  </si>
  <si>
    <t>–82.210427°</t>
  </si>
  <si>
    <t>–84.386627°</t>
  </si>
  <si>
    <t>–85.186826°</t>
  </si>
  <si>
    <t>–83.481855°</t>
  </si>
  <si>
    <t>–83.371790°</t>
  </si>
  <si>
    <t>Quitman</t>
  </si>
  <si>
    <t>–85.009317°</t>
  </si>
  <si>
    <t>Rabun</t>
  </si>
  <si>
    <t>–83.404735°</t>
  </si>
  <si>
    <t>–84.752311°</t>
  </si>
  <si>
    <t>Richmond</t>
  </si>
  <si>
    <t>–82.074998°</t>
  </si>
  <si>
    <t>Rockdale</t>
  </si>
  <si>
    <t>–84.026370°</t>
  </si>
  <si>
    <t>Schley</t>
  </si>
  <si>
    <t>–84.322724°</t>
  </si>
  <si>
    <t>Screven</t>
  </si>
  <si>
    <t>–81.617585°</t>
  </si>
  <si>
    <t>–84.867592°</t>
  </si>
  <si>
    <t>Spalding</t>
  </si>
  <si>
    <t>–84.286067°</t>
  </si>
  <si>
    <t>Stephens</t>
  </si>
  <si>
    <t>–83.290216°</t>
  </si>
  <si>
    <t>Stewart</t>
  </si>
  <si>
    <t>–84.834912°</t>
  </si>
  <si>
    <t>–84.204283°</t>
  </si>
  <si>
    <t>Talbot</t>
  </si>
  <si>
    <t>–84.530029°</t>
  </si>
  <si>
    <t>Taliaferro</t>
  </si>
  <si>
    <t>–82.875208°</t>
  </si>
  <si>
    <t>Tattnall</t>
  </si>
  <si>
    <t>–82.059208°</t>
  </si>
  <si>
    <t>–84.251426°</t>
  </si>
  <si>
    <t>Telfair</t>
  </si>
  <si>
    <t>–82.931062°</t>
  </si>
  <si>
    <t>Terrell</t>
  </si>
  <si>
    <t>–84.439446°</t>
  </si>
  <si>
    <t>Thomas</t>
  </si>
  <si>
    <t>–83.919783°</t>
  </si>
  <si>
    <t>Tift</t>
  </si>
  <si>
    <t>–83.525931°</t>
  </si>
  <si>
    <t>Toombs</t>
  </si>
  <si>
    <t>–82.332071°</t>
  </si>
  <si>
    <t>Towns</t>
  </si>
  <si>
    <t>–83.732158°</t>
  </si>
  <si>
    <t>Treutlen</t>
  </si>
  <si>
    <t>–82.570882°</t>
  </si>
  <si>
    <t>Troup</t>
  </si>
  <si>
    <t>–85.028360°</t>
  </si>
  <si>
    <t>Turner</t>
  </si>
  <si>
    <t>–83.628567°</t>
  </si>
  <si>
    <t>Twiggs</t>
  </si>
  <si>
    <t>–83.425879°</t>
  </si>
  <si>
    <t>–83.989573°</t>
  </si>
  <si>
    <t>Upson</t>
  </si>
  <si>
    <t>–84.292281°</t>
  </si>
  <si>
    <t>–85.305385°</t>
  </si>
  <si>
    <t>–83.734215°</t>
  </si>
  <si>
    <t>Ware</t>
  </si>
  <si>
    <t>–82.421507°</t>
  </si>
  <si>
    <t>Warren</t>
  </si>
  <si>
    <t>–82.688012°</t>
  </si>
  <si>
    <t>–82.798112°</t>
  </si>
  <si>
    <t>Wayne</t>
  </si>
  <si>
    <t>–81.912376°</t>
  </si>
  <si>
    <t>Webster</t>
  </si>
  <si>
    <t>–84.553218°</t>
  </si>
  <si>
    <t>Wheeler</t>
  </si>
  <si>
    <t>–82.738701°</t>
  </si>
  <si>
    <t>–83.743713°</t>
  </si>
  <si>
    <t>Whitfield</t>
  </si>
  <si>
    <t>–84.968541°</t>
  </si>
  <si>
    <t>–83.438262°</t>
  </si>
  <si>
    <t>Wilkes</t>
  </si>
  <si>
    <t>–82.747922°</t>
  </si>
  <si>
    <t>Wilkinson</t>
  </si>
  <si>
    <t>–83.175587°</t>
  </si>
  <si>
    <t>Worth</t>
  </si>
  <si>
    <t>–83.849960°</t>
  </si>
  <si>
    <t>HI</t>
  </si>
  <si>
    <t>Hawaiʻi</t>
  </si>
  <si>
    <t>–155.502443°</t>
  </si>
  <si>
    <t>Honolulu</t>
  </si>
  <si>
    <t>–158.201976°</t>
  </si>
  <si>
    <t>Kalawao [8]</t>
  </si>
  <si>
    <t>–156.974010°</t>
  </si>
  <si>
    <t>Kauaʻi</t>
  </si>
  <si>
    <t>–159.705965°</t>
  </si>
  <si>
    <t>Maui</t>
  </si>
  <si>
    <t>–156.601550°</t>
  </si>
  <si>
    <t>ID</t>
  </si>
  <si>
    <t>Ada</t>
  </si>
  <si>
    <t>–116.244456°</t>
  </si>
  <si>
    <t>–116.431873°</t>
  </si>
  <si>
    <t>Bannock</t>
  </si>
  <si>
    <t>–112.228986°</t>
  </si>
  <si>
    <t>Bear Lake</t>
  </si>
  <si>
    <t>–111.327445°</t>
  </si>
  <si>
    <t>Benewah</t>
  </si>
  <si>
    <t>–116.633541°</t>
  </si>
  <si>
    <t>Bingham</t>
  </si>
  <si>
    <t>–112.399206°</t>
  </si>
  <si>
    <t>Blaine</t>
  </si>
  <si>
    <t>–113.955290°</t>
  </si>
  <si>
    <t>Boise</t>
  </si>
  <si>
    <t>–115.715111°</t>
  </si>
  <si>
    <t>Bonner</t>
  </si>
  <si>
    <t>–116.596940°</t>
  </si>
  <si>
    <t>Bonneville</t>
  </si>
  <si>
    <t>–111.621878°</t>
  </si>
  <si>
    <t>Boundary</t>
  </si>
  <si>
    <t>–116.524619°</t>
  </si>
  <si>
    <t>–113.177627°</t>
  </si>
  <si>
    <t>Camas</t>
  </si>
  <si>
    <t>–114.804427°</t>
  </si>
  <si>
    <t>Canyon</t>
  </si>
  <si>
    <t>–116.708527°</t>
  </si>
  <si>
    <t>Caribou</t>
  </si>
  <si>
    <t>–111.544172°</t>
  </si>
  <si>
    <t>Cassia</t>
  </si>
  <si>
    <t>–113.605498°</t>
  </si>
  <si>
    <t>–112.361120°</t>
  </si>
  <si>
    <t>Clearwater</t>
  </si>
  <si>
    <t>–115.653500°</t>
  </si>
  <si>
    <t>–114.252251°</t>
  </si>
  <si>
    <t>–115.470751°</t>
  </si>
  <si>
    <t>–111.822955°</t>
  </si>
  <si>
    <t>–111.484429°</t>
  </si>
  <si>
    <t>Gem</t>
  </si>
  <si>
    <t>–116.398784°</t>
  </si>
  <si>
    <t>Gooding</t>
  </si>
  <si>
    <t>–114.821420°</t>
  </si>
  <si>
    <t>Idaho</t>
  </si>
  <si>
    <t>–115.467376°</t>
  </si>
  <si>
    <t>–112.318588°</t>
  </si>
  <si>
    <t>Jerome</t>
  </si>
  <si>
    <t>–114.263009°</t>
  </si>
  <si>
    <t>Kootenai</t>
  </si>
  <si>
    <t>–116.694918°</t>
  </si>
  <si>
    <t>Latah</t>
  </si>
  <si>
    <t>–116.730974°</t>
  </si>
  <si>
    <t>Lemhi</t>
  </si>
  <si>
    <t>–113.887841°</t>
  </si>
  <si>
    <t>Lewis</t>
  </si>
  <si>
    <t>–116.423760°</t>
  </si>
  <si>
    <t>–114.153899°</t>
  </si>
  <si>
    <t>–111.656550°</t>
  </si>
  <si>
    <t>Minidoka</t>
  </si>
  <si>
    <t>–113.640010°</t>
  </si>
  <si>
    <t>Nez Perce</t>
  </si>
  <si>
    <t>–116.760903°</t>
  </si>
  <si>
    <t>Oneida</t>
  </si>
  <si>
    <t>–112.520465°</t>
  </si>
  <si>
    <t>Owyhee</t>
  </si>
  <si>
    <t>–116.142655°</t>
  </si>
  <si>
    <t>Payette</t>
  </si>
  <si>
    <t>–116.748655°</t>
  </si>
  <si>
    <t>Power</t>
  </si>
  <si>
    <t>–112.844407°</t>
  </si>
  <si>
    <t>Shoshone</t>
  </si>
  <si>
    <t>–115.885092°</t>
  </si>
  <si>
    <t>Teton</t>
  </si>
  <si>
    <t>–111.211765°</t>
  </si>
  <si>
    <t>Twin Falls</t>
  </si>
  <si>
    <t>–114.665639°</t>
  </si>
  <si>
    <t>Valley</t>
  </si>
  <si>
    <t>–115.637875°</t>
  </si>
  <si>
    <t>–116.797830°</t>
  </si>
  <si>
    <t>IL</t>
  </si>
  <si>
    <t>–91.194961°</t>
  </si>
  <si>
    <t>Alexander</t>
  </si>
  <si>
    <t>–89.349506°</t>
  </si>
  <si>
    <t>Bond</t>
  </si>
  <si>
    <t>–89.436592°</t>
  </si>
  <si>
    <t>–88.824295°</t>
  </si>
  <si>
    <t>Brown</t>
  </si>
  <si>
    <t>–90.750310°</t>
  </si>
  <si>
    <t>Bureau</t>
  </si>
  <si>
    <t>–89.528377°</t>
  </si>
  <si>
    <t>–90.666295°</t>
  </si>
  <si>
    <t>–89.926485°</t>
  </si>
  <si>
    <t>Cass</t>
  </si>
  <si>
    <t>–90.245705°</t>
  </si>
  <si>
    <t>Champaign</t>
  </si>
  <si>
    <t>–88.197201°</t>
  </si>
  <si>
    <t>Christian</t>
  </si>
  <si>
    <t>–89.279593°</t>
  </si>
  <si>
    <t>–87.791687°</t>
  </si>
  <si>
    <t>–88.483789°</t>
  </si>
  <si>
    <t>Clinton</t>
  </si>
  <si>
    <t>–89.423136°</t>
  </si>
  <si>
    <t>Coles</t>
  </si>
  <si>
    <t>–88.220782°</t>
  </si>
  <si>
    <t>–87.645455°</t>
  </si>
  <si>
    <t>–87.757172°</t>
  </si>
  <si>
    <t>Cumberland</t>
  </si>
  <si>
    <t>–88.240619°</t>
  </si>
  <si>
    <t>–88.768991°</t>
  </si>
  <si>
    <t>De Witt</t>
  </si>
  <si>
    <t>–88.901853°</t>
  </si>
  <si>
    <t>–88.222866°</t>
  </si>
  <si>
    <t>DuPage</t>
  </si>
  <si>
    <t>–88.086038°</t>
  </si>
  <si>
    <t>Edgar</t>
  </si>
  <si>
    <t>–87.747110°</t>
  </si>
  <si>
    <t>Edwards</t>
  </si>
  <si>
    <t>–88.047941°</t>
  </si>
  <si>
    <t>–88.592786°</t>
  </si>
  <si>
    <t>–89.017923°</t>
  </si>
  <si>
    <t>Ford</t>
  </si>
  <si>
    <t>–88.224746°</t>
  </si>
  <si>
    <t>–88.926246°</t>
  </si>
  <si>
    <t>–90.206793°</t>
  </si>
  <si>
    <t>Gallatin</t>
  </si>
  <si>
    <t>–88.227964°</t>
  </si>
  <si>
    <t>–90.387757°</t>
  </si>
  <si>
    <t>Grundy</t>
  </si>
  <si>
    <t>–88.401055°</t>
  </si>
  <si>
    <t>–88.539005°</t>
  </si>
  <si>
    <t>–91.167988°</t>
  </si>
  <si>
    <t>Hardin</t>
  </si>
  <si>
    <t>–88.266148°</t>
  </si>
  <si>
    <t>Henderson</t>
  </si>
  <si>
    <t>–90.938480°</t>
  </si>
  <si>
    <t>–90.130838°</t>
  </si>
  <si>
    <t>Iroquois</t>
  </si>
  <si>
    <t>–87.833601°</t>
  </si>
  <si>
    <t>–89.381212°</t>
  </si>
  <si>
    <t>–88.150763°</t>
  </si>
  <si>
    <t>–88.924210°</t>
  </si>
  <si>
    <t>Jersey</t>
  </si>
  <si>
    <t>–90.361365°</t>
  </si>
  <si>
    <t>Jo Daviess</t>
  </si>
  <si>
    <t>–90.211471°</t>
  </si>
  <si>
    <t>–88.882962°</t>
  </si>
  <si>
    <t>Kane</t>
  </si>
  <si>
    <t>–88.428040°</t>
  </si>
  <si>
    <t>Kankakee</t>
  </si>
  <si>
    <t>–87.861125°</t>
  </si>
  <si>
    <t>Kendall</t>
  </si>
  <si>
    <t>–88.430626°</t>
  </si>
  <si>
    <t>Knox</t>
  </si>
  <si>
    <t>–90.213761°</t>
  </si>
  <si>
    <t>–87.436118°</t>
  </si>
  <si>
    <t>La Salle</t>
  </si>
  <si>
    <t>–88.885931°</t>
  </si>
  <si>
    <t>–87.730221°</t>
  </si>
  <si>
    <t>–89.299351°</t>
  </si>
  <si>
    <t>Livingston</t>
  </si>
  <si>
    <t>–88.552852°</t>
  </si>
  <si>
    <t>–89.365308°</t>
  </si>
  <si>
    <t>McDonough</t>
  </si>
  <si>
    <t>–90.677579°</t>
  </si>
  <si>
    <t>McHenry</t>
  </si>
  <si>
    <t>–88.452245°</t>
  </si>
  <si>
    <t>McLean</t>
  </si>
  <si>
    <t>–88.844539°</t>
  </si>
  <si>
    <t>–88.961529°</t>
  </si>
  <si>
    <t>Macoupin</t>
  </si>
  <si>
    <t>–89.926344°</t>
  </si>
  <si>
    <t>–89.900195°</t>
  </si>
  <si>
    <t>–88.920221°</t>
  </si>
  <si>
    <t>–89.342371°</t>
  </si>
  <si>
    <t>Mason</t>
  </si>
  <si>
    <t>–89.913575°</t>
  </si>
  <si>
    <t>Massac</t>
  </si>
  <si>
    <t>–88.705658°</t>
  </si>
  <si>
    <t>Menard</t>
  </si>
  <si>
    <t>–89.794133°</t>
  </si>
  <si>
    <t>Mercer</t>
  </si>
  <si>
    <t>–90.741433°</t>
  </si>
  <si>
    <t>–90.179078°</t>
  </si>
  <si>
    <t>–89.478007°</t>
  </si>
  <si>
    <t>–90.202277°</t>
  </si>
  <si>
    <t>Moultrie</t>
  </si>
  <si>
    <t>–88.625726°</t>
  </si>
  <si>
    <t>Ogle</t>
  </si>
  <si>
    <t>–89.320176°</t>
  </si>
  <si>
    <t>Peoria</t>
  </si>
  <si>
    <t>–89.767358°</t>
  </si>
  <si>
    <t>–89.368487°</t>
  </si>
  <si>
    <t>Piatt</t>
  </si>
  <si>
    <t>–88.592328°</t>
  </si>
  <si>
    <t>–90.889034°</t>
  </si>
  <si>
    <t>–88.542374°</t>
  </si>
  <si>
    <t>–89.127755°</t>
  </si>
  <si>
    <t>–89.298386°</t>
  </si>
  <si>
    <t>–89.821210°</t>
  </si>
  <si>
    <t>Richland</t>
  </si>
  <si>
    <t>–88.085698°</t>
  </si>
  <si>
    <t>Rock Island</t>
  </si>
  <si>
    <t>–90.572203°</t>
  </si>
  <si>
    <t>–89.928546°</t>
  </si>
  <si>
    <t>–88.545031°</t>
  </si>
  <si>
    <t>Sangamon</t>
  </si>
  <si>
    <t>–89.662311°</t>
  </si>
  <si>
    <t>Schuyler</t>
  </si>
  <si>
    <t>–90.613464°</t>
  </si>
  <si>
    <t>–90.477759°</t>
  </si>
  <si>
    <t>–88.798862°</t>
  </si>
  <si>
    <t>Stark</t>
  </si>
  <si>
    <t>–89.797411°</t>
  </si>
  <si>
    <t>Stephenson</t>
  </si>
  <si>
    <t>–89.665994°</t>
  </si>
  <si>
    <t>Tazewell</t>
  </si>
  <si>
    <t>–89.516260°</t>
  </si>
  <si>
    <t>–89.252875°</t>
  </si>
  <si>
    <t>Vermilion</t>
  </si>
  <si>
    <t>–87.726772°</t>
  </si>
  <si>
    <t>Wabash</t>
  </si>
  <si>
    <t>–87.839167°</t>
  </si>
  <si>
    <t>–90.620223°</t>
  </si>
  <si>
    <t>–89.417187°</t>
  </si>
  <si>
    <t>–88.432129°</t>
  </si>
  <si>
    <t>–88.178585°</t>
  </si>
  <si>
    <t>Whiteside</t>
  </si>
  <si>
    <t>–89.910957°</t>
  </si>
  <si>
    <t>Will</t>
  </si>
  <si>
    <t>–87.978456°</t>
  </si>
  <si>
    <t>Williamson</t>
  </si>
  <si>
    <t>–88.930018°</t>
  </si>
  <si>
    <t>Winnebago</t>
  </si>
  <si>
    <t>–89.161205°</t>
  </si>
  <si>
    <t>Woodford</t>
  </si>
  <si>
    <t>–89.210301°</t>
  </si>
  <si>
    <t>IN</t>
  </si>
  <si>
    <t>–84.936131°</t>
  </si>
  <si>
    <t>Allen</t>
  </si>
  <si>
    <t>–85.072230°</t>
  </si>
  <si>
    <t>Bartholomew</t>
  </si>
  <si>
    <t>–85.897999°</t>
  </si>
  <si>
    <t>–87.315479°</t>
  </si>
  <si>
    <t>Blackford</t>
  </si>
  <si>
    <t>–85.323730°</t>
  </si>
  <si>
    <t>–86.469014°</t>
  </si>
  <si>
    <t>–86.239410°</t>
  </si>
  <si>
    <t>–86.565141°</t>
  </si>
  <si>
    <t>–86.355169°</t>
  </si>
  <si>
    <t>–85.711122°</t>
  </si>
  <si>
    <t>–87.115837°</t>
  </si>
  <si>
    <t>–86.477567°</t>
  </si>
  <si>
    <t>–86.440871°</t>
  </si>
  <si>
    <t>Daviess</t>
  </si>
  <si>
    <t>–87.076988°</t>
  </si>
  <si>
    <t>Dearborn</t>
  </si>
  <si>
    <t>–84.973460°</t>
  </si>
  <si>
    <t>–85.499831°</t>
  </si>
  <si>
    <t>–85.000185°</t>
  </si>
  <si>
    <t>Delaware</t>
  </si>
  <si>
    <t>–85.398856°</t>
  </si>
  <si>
    <t>Dubois</t>
  </si>
  <si>
    <t>–86.873385°</t>
  </si>
  <si>
    <t>Elkhart</t>
  </si>
  <si>
    <t>–85.863986°</t>
  </si>
  <si>
    <t>–85.185032°</t>
  </si>
  <si>
    <t>–85.911474°</t>
  </si>
  <si>
    <t>Fountain</t>
  </si>
  <si>
    <t>–87.234806°</t>
  </si>
  <si>
    <t>–85.066964°</t>
  </si>
  <si>
    <t>–86.265006°</t>
  </si>
  <si>
    <t>Gibson</t>
  </si>
  <si>
    <t>–87.580566°</t>
  </si>
  <si>
    <t>–85.654946°</t>
  </si>
  <si>
    <t>–87.005245°</t>
  </si>
  <si>
    <t>–86.020586°</t>
  </si>
  <si>
    <t>–85.772904°</t>
  </si>
  <si>
    <t>Harrison</t>
  </si>
  <si>
    <t>–86.103681°</t>
  </si>
  <si>
    <t>Hendricks</t>
  </si>
  <si>
    <t>–86.510287°</t>
  </si>
  <si>
    <t>–85.397338°</t>
  </si>
  <si>
    <t>–86.114118°</t>
  </si>
  <si>
    <t>Huntington</t>
  </si>
  <si>
    <t>–85.478598°</t>
  </si>
  <si>
    <t>–86.042516°</t>
  </si>
  <si>
    <t>–87.118814°</t>
  </si>
  <si>
    <t>Jay</t>
  </si>
  <si>
    <t>–85.003380°</t>
  </si>
  <si>
    <t>–85.440090°</t>
  </si>
  <si>
    <t>Jennings</t>
  </si>
  <si>
    <t>–85.628111°</t>
  </si>
  <si>
    <t>–86.094600°</t>
  </si>
  <si>
    <t>–87.420182°</t>
  </si>
  <si>
    <t>Kosciusko</t>
  </si>
  <si>
    <t>–85.861575°</t>
  </si>
  <si>
    <t>LaGrange</t>
  </si>
  <si>
    <t>–85.426302°</t>
  </si>
  <si>
    <t>–87.374337°</t>
  </si>
  <si>
    <t>LaPorte</t>
  </si>
  <si>
    <t>–86.744729°</t>
  </si>
  <si>
    <t>–86.487820°</t>
  </si>
  <si>
    <t>–85.722454°</t>
  </si>
  <si>
    <t>–86.135794°</t>
  </si>
  <si>
    <t>–86.269036°</t>
  </si>
  <si>
    <t>–86.801847°</t>
  </si>
  <si>
    <t>Miami</t>
  </si>
  <si>
    <t>–86.044259°</t>
  </si>
  <si>
    <t>–86.523325°</t>
  </si>
  <si>
    <t>–86.892715°</t>
  </si>
  <si>
    <t>–86.447457°</t>
  </si>
  <si>
    <t>–87.402172°</t>
  </si>
  <si>
    <t>Noble</t>
  </si>
  <si>
    <t>–85.417850°</t>
  </si>
  <si>
    <t>Ohio</t>
  </si>
  <si>
    <t>–84.964299°</t>
  </si>
  <si>
    <t>–86.489257°</t>
  </si>
  <si>
    <t>Owen</t>
  </si>
  <si>
    <t>–86.838845°</t>
  </si>
  <si>
    <t>Parke</t>
  </si>
  <si>
    <t>–87.196950°</t>
  </si>
  <si>
    <t>–86.626540°</t>
  </si>
  <si>
    <t>–87.232532°</t>
  </si>
  <si>
    <t>Porter</t>
  </si>
  <si>
    <t>–87.071308°</t>
  </si>
  <si>
    <t>Posey</t>
  </si>
  <si>
    <t>–87.868653°</t>
  </si>
  <si>
    <t>–86.692538°</t>
  </si>
  <si>
    <t>–86.853325°</t>
  </si>
  <si>
    <t>–85.005004°</t>
  </si>
  <si>
    <t>Ripley</t>
  </si>
  <si>
    <t>–85.260541°</t>
  </si>
  <si>
    <t>Rush</t>
  </si>
  <si>
    <t>–85.466527°</t>
  </si>
  <si>
    <t>St. Joseph</t>
  </si>
  <si>
    <t>–86.288159°</t>
  </si>
  <si>
    <t>–85.751898°</t>
  </si>
  <si>
    <t>–85.792174°</t>
  </si>
  <si>
    <t>Spencer</t>
  </si>
  <si>
    <t>–87.010645°</t>
  </si>
  <si>
    <t>Starke</t>
  </si>
  <si>
    <t>–86.647570°</t>
  </si>
  <si>
    <t>Steuben</t>
  </si>
  <si>
    <t>–85.002467°</t>
  </si>
  <si>
    <t>Sullivan</t>
  </si>
  <si>
    <t>–87.415843°</t>
  </si>
  <si>
    <t>Switzerland</t>
  </si>
  <si>
    <t>–85.029679°</t>
  </si>
  <si>
    <t>Tippecanoe</t>
  </si>
  <si>
    <t>–86.893943°</t>
  </si>
  <si>
    <t>Tipton</t>
  </si>
  <si>
    <t>–86.056207°</t>
  </si>
  <si>
    <t>–84.925152°</t>
  </si>
  <si>
    <t>Vanderburgh</t>
  </si>
  <si>
    <t>–87.586166°</t>
  </si>
  <si>
    <t>Vermillion</t>
  </si>
  <si>
    <t>–87.462071°</t>
  </si>
  <si>
    <t>Vigo</t>
  </si>
  <si>
    <t>–87.390375°</t>
  </si>
  <si>
    <t>–85.795175°</t>
  </si>
  <si>
    <t>–87.375847°</t>
  </si>
  <si>
    <t>Warrick</t>
  </si>
  <si>
    <t>–87.272023°</t>
  </si>
  <si>
    <t>–86.104751°</t>
  </si>
  <si>
    <t>–85.006735°</t>
  </si>
  <si>
    <t>Wells</t>
  </si>
  <si>
    <t>–85.212974°</t>
  </si>
  <si>
    <t>–86.864293°</t>
  </si>
  <si>
    <t>Whitley</t>
  </si>
  <si>
    <t>–85.501892°</t>
  </si>
  <si>
    <t>IA</t>
  </si>
  <si>
    <t>Adair</t>
  </si>
  <si>
    <t>–94.478164°</t>
  </si>
  <si>
    <t>–94.696906°</t>
  </si>
  <si>
    <t>Allamakee</t>
  </si>
  <si>
    <t>–91.382751°</t>
  </si>
  <si>
    <t>Appanoose</t>
  </si>
  <si>
    <t>–92.870345°</t>
  </si>
  <si>
    <t>Audubon</t>
  </si>
  <si>
    <t>–94.904312°</t>
  </si>
  <si>
    <t>–92.057630°</t>
  </si>
  <si>
    <t>Black Hawk</t>
  </si>
  <si>
    <t>–92.306059°</t>
  </si>
  <si>
    <t>–93.939138°</t>
  </si>
  <si>
    <t>Bremer</t>
  </si>
  <si>
    <t>–92.327586°</t>
  </si>
  <si>
    <t>Buchanan</t>
  </si>
  <si>
    <t>–91.838666°</t>
  </si>
  <si>
    <t>Buena Vista</t>
  </si>
  <si>
    <t>–95.141433°</t>
  </si>
  <si>
    <t>–92.780066°</t>
  </si>
  <si>
    <t>–94.643683°</t>
  </si>
  <si>
    <t>–94.867647°</t>
  </si>
  <si>
    <t>–94.933302°</t>
  </si>
  <si>
    <t>Cedar</t>
  </si>
  <si>
    <t>–91.132190°</t>
  </si>
  <si>
    <t>Cerro Gordo</t>
  </si>
  <si>
    <t>–93.251266°</t>
  </si>
  <si>
    <t>–95.633262°</t>
  </si>
  <si>
    <t>Chickasaw</t>
  </si>
  <si>
    <t>–92.317210°</t>
  </si>
  <si>
    <t>–93.784096°</t>
  </si>
  <si>
    <t>–95.149726°</t>
  </si>
  <si>
    <t>–91.323511°</t>
  </si>
  <si>
    <t>–90.534243°</t>
  </si>
  <si>
    <t>–95.389090°</t>
  </si>
  <si>
    <t>–94.040707°</t>
  </si>
  <si>
    <t>Davis</t>
  </si>
  <si>
    <t>–92.410345°</t>
  </si>
  <si>
    <t>–93.784580°</t>
  </si>
  <si>
    <t>–91.359443°</t>
  </si>
  <si>
    <t>Des Moines</t>
  </si>
  <si>
    <t>–91.186925°</t>
  </si>
  <si>
    <t>Dickinson</t>
  </si>
  <si>
    <t>–95.196057°</t>
  </si>
  <si>
    <t>Dubuque</t>
  </si>
  <si>
    <t>–90.878771°</t>
  </si>
  <si>
    <t>Emmet</t>
  </si>
  <si>
    <t>–94.669370°</t>
  </si>
  <si>
    <t>–91.839373°</t>
  </si>
  <si>
    <t>–92.787367°</t>
  </si>
  <si>
    <t>–93.271425°</t>
  </si>
  <si>
    <t>–95.599516°</t>
  </si>
  <si>
    <t>–94.388703°</t>
  </si>
  <si>
    <t>–92.790261°</t>
  </si>
  <si>
    <t>Guthrie</t>
  </si>
  <si>
    <t>–94.501272°</t>
  </si>
  <si>
    <t>–93.709198°</t>
  </si>
  <si>
    <t>–93.743697°</t>
  </si>
  <si>
    <t>–93.241081°</t>
  </si>
  <si>
    <t>–95.827149°</t>
  </si>
  <si>
    <t>–91.544270°</t>
  </si>
  <si>
    <t>–92.321908°</t>
  </si>
  <si>
    <t>–94.202775°</t>
  </si>
  <si>
    <t>Ida</t>
  </si>
  <si>
    <t>–95.507421°</t>
  </si>
  <si>
    <t>Iowa</t>
  </si>
  <si>
    <t>–92.059123°</t>
  </si>
  <si>
    <t>–90.574597°</t>
  </si>
  <si>
    <t>–93.052971°</t>
  </si>
  <si>
    <t>–91.967137°</t>
  </si>
  <si>
    <t>–91.588812°</t>
  </si>
  <si>
    <t>–91.116914°</t>
  </si>
  <si>
    <t>Keokuk</t>
  </si>
  <si>
    <t>–92.167721°</t>
  </si>
  <si>
    <t>Kossuth</t>
  </si>
  <si>
    <t>–94.213983°</t>
  </si>
  <si>
    <t>–91.477157°</t>
  </si>
  <si>
    <t>Linn</t>
  </si>
  <si>
    <t>–91.597674°</t>
  </si>
  <si>
    <t>Louisa</t>
  </si>
  <si>
    <t>–91.256994°</t>
  </si>
  <si>
    <t>Lucas</t>
  </si>
  <si>
    <t>–93.331467°</t>
  </si>
  <si>
    <t>Lyon</t>
  </si>
  <si>
    <t>–96.207201°</t>
  </si>
  <si>
    <t>–94.015184°</t>
  </si>
  <si>
    <t>Mahaska</t>
  </si>
  <si>
    <t>–92.636366°</t>
  </si>
  <si>
    <t>–93.093849°</t>
  </si>
  <si>
    <t>–92.981452°</t>
  </si>
  <si>
    <t>Mills</t>
  </si>
  <si>
    <t>–95.619101°</t>
  </si>
  <si>
    <t>–92.784466°</t>
  </si>
  <si>
    <t>Monona</t>
  </si>
  <si>
    <t>–95.956566°</t>
  </si>
  <si>
    <t>–92.869642°</t>
  </si>
  <si>
    <t>–95.157790°</t>
  </si>
  <si>
    <t>Muscatine</t>
  </si>
  <si>
    <t>–91.118699°</t>
  </si>
  <si>
    <t>O'Brien</t>
  </si>
  <si>
    <t>–95.625624°</t>
  </si>
  <si>
    <t>–95.633788°</t>
  </si>
  <si>
    <t>Page</t>
  </si>
  <si>
    <t>–95.144290°</t>
  </si>
  <si>
    <t>Palo Alto</t>
  </si>
  <si>
    <t>–94.667297°</t>
  </si>
  <si>
    <t>Plymouth</t>
  </si>
  <si>
    <t>–96.215864°</t>
  </si>
  <si>
    <t>Pocahontas</t>
  </si>
  <si>
    <t>–94.678279°</t>
  </si>
  <si>
    <t>–93.569720°</t>
  </si>
  <si>
    <t>Pottawattamie</t>
  </si>
  <si>
    <t>–95.544905°</t>
  </si>
  <si>
    <t>Poweshiek</t>
  </si>
  <si>
    <t>–92.522882°</t>
  </si>
  <si>
    <t>Ringgold</t>
  </si>
  <si>
    <t>–94.244251°</t>
  </si>
  <si>
    <t>Sac</t>
  </si>
  <si>
    <t>–95.105224°</t>
  </si>
  <si>
    <t>–90.622290°</t>
  </si>
  <si>
    <t>–95.308917°</t>
  </si>
  <si>
    <t>Sioux</t>
  </si>
  <si>
    <t>–96.177929°</t>
  </si>
  <si>
    <t>Story</t>
  </si>
  <si>
    <t>–93.466093°</t>
  </si>
  <si>
    <t>Tama</t>
  </si>
  <si>
    <t>–92.529412°</t>
  </si>
  <si>
    <t>–94.697108°</t>
  </si>
  <si>
    <t>–94.245091°</t>
  </si>
  <si>
    <t>–91.952943°</t>
  </si>
  <si>
    <t>Wapello</t>
  </si>
  <si>
    <t>–92.409482°</t>
  </si>
  <si>
    <t>–93.564366°</t>
  </si>
  <si>
    <t>–91.725052°</t>
  </si>
  <si>
    <t>–93.332613°</t>
  </si>
  <si>
    <t>–94.179157°</t>
  </si>
  <si>
    <t>–93.743488°</t>
  </si>
  <si>
    <t>Winneshiek</t>
  </si>
  <si>
    <t>–91.850788°</t>
  </si>
  <si>
    <t>Woodbury</t>
  </si>
  <si>
    <t>–96.053296°</t>
  </si>
  <si>
    <t>–93.248533°</t>
  </si>
  <si>
    <t>Wright</t>
  </si>
  <si>
    <t>–93.734735°</t>
  </si>
  <si>
    <t>KS</t>
  </si>
  <si>
    <t>–95.300945°</t>
  </si>
  <si>
    <t>Anderson</t>
  </si>
  <si>
    <t>–95.292046°</t>
  </si>
  <si>
    <t>Atchison</t>
  </si>
  <si>
    <t>–95.313398°</t>
  </si>
  <si>
    <t>Barber</t>
  </si>
  <si>
    <t>–98.685052°</t>
  </si>
  <si>
    <t>Barton</t>
  </si>
  <si>
    <t>–98.767837°</t>
  </si>
  <si>
    <t>Bourbon</t>
  </si>
  <si>
    <t>–94.850928°</t>
  </si>
  <si>
    <t>–95.569905°</t>
  </si>
  <si>
    <t>–96.838762°</t>
  </si>
  <si>
    <t>Chase</t>
  </si>
  <si>
    <t>–96.594064°</t>
  </si>
  <si>
    <t>Chautauqua</t>
  </si>
  <si>
    <t>–96.245396°</t>
  </si>
  <si>
    <t>–94.845698°</t>
  </si>
  <si>
    <t>–101.727302°</t>
  </si>
  <si>
    <t>–99.813869°</t>
  </si>
  <si>
    <t>–97.168853°</t>
  </si>
  <si>
    <t>Cloud</t>
  </si>
  <si>
    <t>–97.641390°</t>
  </si>
  <si>
    <t>Coffey</t>
  </si>
  <si>
    <t>–95.729137°</t>
  </si>
  <si>
    <t>Comanche</t>
  </si>
  <si>
    <t>–99.254089°</t>
  </si>
  <si>
    <t>Cowley</t>
  </si>
  <si>
    <t>–96.837247°</t>
  </si>
  <si>
    <t>–94.853941°</t>
  </si>
  <si>
    <t>–100.459708°</t>
  </si>
  <si>
    <t>–97.157943°</t>
  </si>
  <si>
    <t>Doniphan</t>
  </si>
  <si>
    <t>–95.147225°</t>
  </si>
  <si>
    <t>–95.290529°</t>
  </si>
  <si>
    <t>–99.304746°</t>
  </si>
  <si>
    <t>Elk</t>
  </si>
  <si>
    <t>–96.244642°</t>
  </si>
  <si>
    <t>Ellis</t>
  </si>
  <si>
    <t>–99.317329°</t>
  </si>
  <si>
    <t>Ellsworth</t>
  </si>
  <si>
    <t>–98.205355°</t>
  </si>
  <si>
    <t>Finney</t>
  </si>
  <si>
    <t>–100.739929°</t>
  </si>
  <si>
    <t>–99.884734°</t>
  </si>
  <si>
    <t>–95.278962°</t>
  </si>
  <si>
    <t>Geary</t>
  </si>
  <si>
    <t>–96.768038°</t>
  </si>
  <si>
    <t>Gove</t>
  </si>
  <si>
    <t>–100.487360°</t>
  </si>
  <si>
    <t>–99.880952°</t>
  </si>
  <si>
    <t>–101.299362°</t>
  </si>
  <si>
    <t>Gray</t>
  </si>
  <si>
    <t>–100.451716°</t>
  </si>
  <si>
    <t>Greeley</t>
  </si>
  <si>
    <t>–101.805984°</t>
  </si>
  <si>
    <t>Greenwood</t>
  </si>
  <si>
    <t>–96.242232°</t>
  </si>
  <si>
    <t>–101.793689°</t>
  </si>
  <si>
    <t>Harper</t>
  </si>
  <si>
    <t>–98.066590°</t>
  </si>
  <si>
    <t>Harvey</t>
  </si>
  <si>
    <t>–97.436707°</t>
  </si>
  <si>
    <t>Haskell</t>
  </si>
  <si>
    <t>–100.876869°</t>
  </si>
  <si>
    <t>Hodgeman</t>
  </si>
  <si>
    <t>–99.898407°</t>
  </si>
  <si>
    <t>–95.794509°</t>
  </si>
  <si>
    <t>–95.375314°</t>
  </si>
  <si>
    <t>Jewell</t>
  </si>
  <si>
    <t>–98.222584°</t>
  </si>
  <si>
    <t>–94.822330°</t>
  </si>
  <si>
    <t>Kearny</t>
  </si>
  <si>
    <t>–101.308136°</t>
  </si>
  <si>
    <t>Kingman</t>
  </si>
  <si>
    <t>–98.144529°</t>
  </si>
  <si>
    <t>–99.286539°</t>
  </si>
  <si>
    <t>Labette</t>
  </si>
  <si>
    <t>–95.297473°</t>
  </si>
  <si>
    <t>Lane</t>
  </si>
  <si>
    <t>–100.466185°</t>
  </si>
  <si>
    <t>Leavenworth</t>
  </si>
  <si>
    <t>–95.038977°</t>
  </si>
  <si>
    <t>–98.214265°</t>
  </si>
  <si>
    <t>–94.844932°</t>
  </si>
  <si>
    <t>–101.157407°</t>
  </si>
  <si>
    <t>–96.161589°</t>
  </si>
  <si>
    <t>McPherson</t>
  </si>
  <si>
    <t>–97.647489°</t>
  </si>
  <si>
    <t>–97.102771°</t>
  </si>
  <si>
    <t>–96.521243°</t>
  </si>
  <si>
    <t>Meade</t>
  </si>
  <si>
    <t>–100.360094°</t>
  </si>
  <si>
    <t>–94.832963°</t>
  </si>
  <si>
    <t>–98.207362°</t>
  </si>
  <si>
    <t>–95.742403°</t>
  </si>
  <si>
    <t>Morris</t>
  </si>
  <si>
    <t>–96.644905°</t>
  </si>
  <si>
    <t>Morton</t>
  </si>
  <si>
    <t>–101.809516°</t>
  </si>
  <si>
    <t>Nemaha</t>
  </si>
  <si>
    <t>–96.005381°</t>
  </si>
  <si>
    <t>Neosho</t>
  </si>
  <si>
    <t>–95.315683°</t>
  </si>
  <si>
    <t>Ness</t>
  </si>
  <si>
    <t>–99.908745°</t>
  </si>
  <si>
    <t>Norton</t>
  </si>
  <si>
    <t>–99.899235°</t>
  </si>
  <si>
    <t>Osage</t>
  </si>
  <si>
    <t>–95.727275°</t>
  </si>
  <si>
    <t>Osborne</t>
  </si>
  <si>
    <t>–98.767876°</t>
  </si>
  <si>
    <t>Ottawa</t>
  </si>
  <si>
    <t>–97.654803°</t>
  </si>
  <si>
    <t>Pawnee</t>
  </si>
  <si>
    <t>–99.232154°</t>
  </si>
  <si>
    <t>–99.342150°</t>
  </si>
  <si>
    <t>Pottawatomie</t>
  </si>
  <si>
    <t>–96.337113°</t>
  </si>
  <si>
    <t>Pratt</t>
  </si>
  <si>
    <t>–98.740120°</t>
  </si>
  <si>
    <t>Rawlins</t>
  </si>
  <si>
    <t>–101.076738°</t>
  </si>
  <si>
    <t>Reno</t>
  </si>
  <si>
    <t>–98.078346°</t>
  </si>
  <si>
    <t>Republic</t>
  </si>
  <si>
    <t>–97.650921°</t>
  </si>
  <si>
    <t>Rice</t>
  </si>
  <si>
    <t>–98.201415°</t>
  </si>
  <si>
    <t>Riley</t>
  </si>
  <si>
    <t>–96.727489°</t>
  </si>
  <si>
    <t>Rooks</t>
  </si>
  <si>
    <t>–99.324492°</t>
  </si>
  <si>
    <t>–99.309183°</t>
  </si>
  <si>
    <t>–98.765638°</t>
  </si>
  <si>
    <t>–97.650153°</t>
  </si>
  <si>
    <t>–100.906360°</t>
  </si>
  <si>
    <t>–97.459451°</t>
  </si>
  <si>
    <t>Seward</t>
  </si>
  <si>
    <t>–100.854741°</t>
  </si>
  <si>
    <t>Shawnee</t>
  </si>
  <si>
    <t>–95.755664°</t>
  </si>
  <si>
    <t>Sheridan</t>
  </si>
  <si>
    <t>–100.441206°</t>
  </si>
  <si>
    <t>Sherman</t>
  </si>
  <si>
    <t>–101.719859°</t>
  </si>
  <si>
    <t>Smith</t>
  </si>
  <si>
    <t>–98.785430°</t>
  </si>
  <si>
    <t>Stafford</t>
  </si>
  <si>
    <t>–98.719889°</t>
  </si>
  <si>
    <t>Stanton</t>
  </si>
  <si>
    <t>–101.789383°</t>
  </si>
  <si>
    <t>Stevens</t>
  </si>
  <si>
    <t>–101.315796°</t>
  </si>
  <si>
    <t>Sumner</t>
  </si>
  <si>
    <t>–97.493349°</t>
  </si>
  <si>
    <t>–101.083439°</t>
  </si>
  <si>
    <t>Trego</t>
  </si>
  <si>
    <t>–99.865423°</t>
  </si>
  <si>
    <t>Wabaunsee</t>
  </si>
  <si>
    <t>–96.201262°</t>
  </si>
  <si>
    <t>Wallace</t>
  </si>
  <si>
    <t>–101.771103°</t>
  </si>
  <si>
    <t>–97.095611°</t>
  </si>
  <si>
    <t>Wichita</t>
  </si>
  <si>
    <t>–101.347434°</t>
  </si>
  <si>
    <t>Wilson</t>
  </si>
  <si>
    <t>–95.745175°</t>
  </si>
  <si>
    <t>Woodson</t>
  </si>
  <si>
    <t>–95.757553°</t>
  </si>
  <si>
    <t>Wyandotte</t>
  </si>
  <si>
    <t>–94.763087°</t>
  </si>
  <si>
    <t>KY</t>
  </si>
  <si>
    <t>–85.281401°</t>
  </si>
  <si>
    <t>–86.192458°</t>
  </si>
  <si>
    <t>–84.986417°</t>
  </si>
  <si>
    <t>Ballard</t>
  </si>
  <si>
    <t>–89.009178°</t>
  </si>
  <si>
    <t>Barren</t>
  </si>
  <si>
    <t>–85.924990°</t>
  </si>
  <si>
    <t>Bath</t>
  </si>
  <si>
    <t>–83.737641°</t>
  </si>
  <si>
    <t>Bell</t>
  </si>
  <si>
    <t>–83.681046°</t>
  </si>
  <si>
    <t>–84.731444°</t>
  </si>
  <si>
    <t>–84.209860°</t>
  </si>
  <si>
    <t>Boyd</t>
  </si>
  <si>
    <t>–82.681406°</t>
  </si>
  <si>
    <t>Boyle</t>
  </si>
  <si>
    <t>–84.873016°</t>
  </si>
  <si>
    <t>Bracken</t>
  </si>
  <si>
    <t>–84.100355°</t>
  </si>
  <si>
    <t>Breathitt</t>
  </si>
  <si>
    <t>–83.322401°</t>
  </si>
  <si>
    <t>Breckinridge</t>
  </si>
  <si>
    <t>–86.432829°</t>
  </si>
  <si>
    <t>Bullitt</t>
  </si>
  <si>
    <t>–85.703036°</t>
  </si>
  <si>
    <t>–86.682471°</t>
  </si>
  <si>
    <t>Caldwell</t>
  </si>
  <si>
    <t>–87.870510°</t>
  </si>
  <si>
    <t>Calloway</t>
  </si>
  <si>
    <t>–88.274086°</t>
  </si>
  <si>
    <t>Campbell</t>
  </si>
  <si>
    <t>–84.379583°</t>
  </si>
  <si>
    <t>Carlisle</t>
  </si>
  <si>
    <t>–88.975757°</t>
  </si>
  <si>
    <t>–85.124083°</t>
  </si>
  <si>
    <t>Carter</t>
  </si>
  <si>
    <t>–83.048821°</t>
  </si>
  <si>
    <t>Casey</t>
  </si>
  <si>
    <t>–84.928220°</t>
  </si>
  <si>
    <t>–87.493554°</t>
  </si>
  <si>
    <t>–84.144974°</t>
  </si>
  <si>
    <t>–83.710763°</t>
  </si>
  <si>
    <t>–85.153499°</t>
  </si>
  <si>
    <t>–88.105010°</t>
  </si>
  <si>
    <t>–85.393499°</t>
  </si>
  <si>
    <t>–87.087139°</t>
  </si>
  <si>
    <t>Edmonson</t>
  </si>
  <si>
    <t>–86.217778°</t>
  </si>
  <si>
    <t>Elliott</t>
  </si>
  <si>
    <t>–83.097541°</t>
  </si>
  <si>
    <t>Estill</t>
  </si>
  <si>
    <t>–83.963927°</t>
  </si>
  <si>
    <t>–84.458443°</t>
  </si>
  <si>
    <t>Fleming</t>
  </si>
  <si>
    <t>–83.706152°</t>
  </si>
  <si>
    <t>–82.740337°</t>
  </si>
  <si>
    <t>–84.868786°</t>
  </si>
  <si>
    <t>–89.187723°</t>
  </si>
  <si>
    <t>–84.862114°</t>
  </si>
  <si>
    <t>Garrard</t>
  </si>
  <si>
    <t>–84.545856°</t>
  </si>
  <si>
    <t>–84.625946°</t>
  </si>
  <si>
    <t>Graves</t>
  </si>
  <si>
    <t>–88.649897°</t>
  </si>
  <si>
    <t>Grayson</t>
  </si>
  <si>
    <t>–86.344011°</t>
  </si>
  <si>
    <t>Green</t>
  </si>
  <si>
    <t>–85.561403°</t>
  </si>
  <si>
    <t>Greenup</t>
  </si>
  <si>
    <t>–82.933833°</t>
  </si>
  <si>
    <t>–86.792773°</t>
  </si>
  <si>
    <t>–85.963183°</t>
  </si>
  <si>
    <t>Harlan</t>
  </si>
  <si>
    <t>–83.221497°</t>
  </si>
  <si>
    <t>–84.332796°</t>
  </si>
  <si>
    <t>–85.881995°</t>
  </si>
  <si>
    <t>–87.572577°</t>
  </si>
  <si>
    <t>–85.120079°</t>
  </si>
  <si>
    <t>Hickman</t>
  </si>
  <si>
    <t>–88.972020°</t>
  </si>
  <si>
    <t>Hopkins</t>
  </si>
  <si>
    <t>–87.542196°</t>
  </si>
  <si>
    <t>–84.020686°</t>
  </si>
  <si>
    <t>–85.657624°</t>
  </si>
  <si>
    <t>Jessamine</t>
  </si>
  <si>
    <t>–84.583960°</t>
  </si>
  <si>
    <t>–82.830639°</t>
  </si>
  <si>
    <t>Kenton</t>
  </si>
  <si>
    <t>–84.533492°</t>
  </si>
  <si>
    <t>Knott</t>
  </si>
  <si>
    <t>–82.949138°</t>
  </si>
  <si>
    <t>–83.855630°</t>
  </si>
  <si>
    <t>Larue</t>
  </si>
  <si>
    <t>–85.697209°</t>
  </si>
  <si>
    <t>Laurel</t>
  </si>
  <si>
    <t>–84.119395°</t>
  </si>
  <si>
    <t>–82.738305°</t>
  </si>
  <si>
    <t>–83.718497°</t>
  </si>
  <si>
    <t>Leslie</t>
  </si>
  <si>
    <t>–83.388616°</t>
  </si>
  <si>
    <t>Letcher</t>
  </si>
  <si>
    <t>–82.861175°</t>
  </si>
  <si>
    <t>–83.373303°</t>
  </si>
  <si>
    <t>–84.658074°</t>
  </si>
  <si>
    <t>–88.363426°</t>
  </si>
  <si>
    <t>–86.881436°</t>
  </si>
  <si>
    <t>–88.083391°</t>
  </si>
  <si>
    <t>McCracken</t>
  </si>
  <si>
    <t>–88.712378°</t>
  </si>
  <si>
    <t>McCreary</t>
  </si>
  <si>
    <t>–84.491052°</t>
  </si>
  <si>
    <t>–87.262931°</t>
  </si>
  <si>
    <t>–84.277008°</t>
  </si>
  <si>
    <t>Magoffin</t>
  </si>
  <si>
    <t>–83.069716°</t>
  </si>
  <si>
    <t>–85.269242°</t>
  </si>
  <si>
    <t>–88.332752°</t>
  </si>
  <si>
    <t>–82.506623°</t>
  </si>
  <si>
    <t>–83.828052°</t>
  </si>
  <si>
    <t>–86.200863°</t>
  </si>
  <si>
    <t>Menifee</t>
  </si>
  <si>
    <t>–83.597345°</t>
  </si>
  <si>
    <t>–84.879695°</t>
  </si>
  <si>
    <t>Metcalfe</t>
  </si>
  <si>
    <t>–85.629554°</t>
  </si>
  <si>
    <t>–85.713508°</t>
  </si>
  <si>
    <t>–83.912338°</t>
  </si>
  <si>
    <t>–83.258944°</t>
  </si>
  <si>
    <t>Muhlenberg</t>
  </si>
  <si>
    <t>–87.134092°</t>
  </si>
  <si>
    <t>Nelson</t>
  </si>
  <si>
    <t>–85.465955°</t>
  </si>
  <si>
    <t>Nicholas</t>
  </si>
  <si>
    <t>–84.025554°</t>
  </si>
  <si>
    <t>–86.844871°</t>
  </si>
  <si>
    <t>Oldham</t>
  </si>
  <si>
    <t>–85.456059°</t>
  </si>
  <si>
    <t>–84.841509°</t>
  </si>
  <si>
    <t>Owsley</t>
  </si>
  <si>
    <t>–83.691566°</t>
  </si>
  <si>
    <t>Pendleton</t>
  </si>
  <si>
    <t>–84.354041°</t>
  </si>
  <si>
    <t>–83.217772°</t>
  </si>
  <si>
    <t>–82.402869°</t>
  </si>
  <si>
    <t>Powell</t>
  </si>
  <si>
    <t>–83.826985°</t>
  </si>
  <si>
    <t>–84.579986°</t>
  </si>
  <si>
    <t>Robertson</t>
  </si>
  <si>
    <t>–84.063757°</t>
  </si>
  <si>
    <t>Rockcastle</t>
  </si>
  <si>
    <t>–84.314419°</t>
  </si>
  <si>
    <t>Rowan</t>
  </si>
  <si>
    <t>–83.425969°</t>
  </si>
  <si>
    <t>–85.058976°</t>
  </si>
  <si>
    <t>–84.579376°</t>
  </si>
  <si>
    <t>–85.228360°</t>
  </si>
  <si>
    <t>Simpson</t>
  </si>
  <si>
    <t>–86.581464°</t>
  </si>
  <si>
    <t>–85.321525°</t>
  </si>
  <si>
    <t>–85.326698°</t>
  </si>
  <si>
    <t>Todd</t>
  </si>
  <si>
    <t>–87.183642°</t>
  </si>
  <si>
    <t>Trigg</t>
  </si>
  <si>
    <t>–87.858652°</t>
  </si>
  <si>
    <t>Trimble</t>
  </si>
  <si>
    <t>–85.355171°</t>
  </si>
  <si>
    <t>–87.951650°</t>
  </si>
  <si>
    <t>–86.423579°</t>
  </si>
  <si>
    <t>–85.175416°</t>
  </si>
  <si>
    <t>–84.830440°</t>
  </si>
  <si>
    <t>–87.685095°</t>
  </si>
  <si>
    <t>–84.144550°</t>
  </si>
  <si>
    <t>Wolfe</t>
  </si>
  <si>
    <t>–83.495068°</t>
  </si>
  <si>
    <t>–84.748147°</t>
  </si>
  <si>
    <t>LA</t>
  </si>
  <si>
    <t>Acadia</t>
  </si>
  <si>
    <t>–92.411037°</t>
  </si>
  <si>
    <t>–92.819605°</t>
  </si>
  <si>
    <t>Ascension</t>
  </si>
  <si>
    <t>–90.910023°</t>
  </si>
  <si>
    <t>Assumption</t>
  </si>
  <si>
    <t>–91.050528°</t>
  </si>
  <si>
    <t>Avoyelles</t>
  </si>
  <si>
    <t>–91.993798°</t>
  </si>
  <si>
    <t>Beauregard</t>
  </si>
  <si>
    <t>–93.340253°</t>
  </si>
  <si>
    <t>Bienville</t>
  </si>
  <si>
    <t>–93.061513°</t>
  </si>
  <si>
    <t>Bossier</t>
  </si>
  <si>
    <t>–93.617977°</t>
  </si>
  <si>
    <t>Caddo</t>
  </si>
  <si>
    <t>–93.882423°</t>
  </si>
  <si>
    <t>Calcasieu</t>
  </si>
  <si>
    <t>–93.358015°</t>
  </si>
  <si>
    <t>–92.114180°</t>
  </si>
  <si>
    <t>Cameron</t>
  </si>
  <si>
    <t>–93.165437°</t>
  </si>
  <si>
    <t>Catahoula</t>
  </si>
  <si>
    <t>–91.846703°</t>
  </si>
  <si>
    <t>Claiborne</t>
  </si>
  <si>
    <t>–92.991125°</t>
  </si>
  <si>
    <t>Concordia</t>
  </si>
  <si>
    <t>–91.626314°</t>
  </si>
  <si>
    <t>De Soto</t>
  </si>
  <si>
    <t>–93.740797°</t>
  </si>
  <si>
    <t>East Baton Rouge</t>
  </si>
  <si>
    <t>–91.093174°</t>
  </si>
  <si>
    <t>East Carroll</t>
  </si>
  <si>
    <t>–91.234141°</t>
  </si>
  <si>
    <t>East Feliciana</t>
  </si>
  <si>
    <t>–91.043434°</t>
  </si>
  <si>
    <t>Evangeline</t>
  </si>
  <si>
    <t>–92.404086°</t>
  </si>
  <si>
    <t>–91.672101°</t>
  </si>
  <si>
    <t>–92.561716°</t>
  </si>
  <si>
    <t>Iberia</t>
  </si>
  <si>
    <t>–91.842706°</t>
  </si>
  <si>
    <t>Iberville</t>
  </si>
  <si>
    <t>–91.363150°</t>
  </si>
  <si>
    <t>–92.556672°</t>
  </si>
  <si>
    <t>–90.036231°</t>
  </si>
  <si>
    <t>Jefferson Davis</t>
  </si>
  <si>
    <t>–92.816221°</t>
  </si>
  <si>
    <t>–92.064170°</t>
  </si>
  <si>
    <t>Lafourche</t>
  </si>
  <si>
    <t>–90.394849°</t>
  </si>
  <si>
    <t>–92.161809°</t>
  </si>
  <si>
    <t>–92.662082°</t>
  </si>
  <si>
    <t>–90.727474°</t>
  </si>
  <si>
    <t>–91.240729°</t>
  </si>
  <si>
    <t>Morehouse</t>
  </si>
  <si>
    <t>–91.800399°</t>
  </si>
  <si>
    <t>Natchitoches</t>
  </si>
  <si>
    <t>–93.086106°</t>
  </si>
  <si>
    <t>Orleans</t>
  </si>
  <si>
    <t>–89.939007°</t>
  </si>
  <si>
    <t>–92.154798°</t>
  </si>
  <si>
    <t>Plaquemines</t>
  </si>
  <si>
    <t>–89.298489°</t>
  </si>
  <si>
    <t>Pointe Coupee</t>
  </si>
  <si>
    <t>–91.604621°</t>
  </si>
  <si>
    <t>Rapides</t>
  </si>
  <si>
    <t>–92.535953°</t>
  </si>
  <si>
    <t>Red River</t>
  </si>
  <si>
    <t>–93.349050°</t>
  </si>
  <si>
    <t>–91.758375°</t>
  </si>
  <si>
    <t>Sabine</t>
  </si>
  <si>
    <t>–93.559228°</t>
  </si>
  <si>
    <t>St. Bernard</t>
  </si>
  <si>
    <t>–89.263494°</t>
  </si>
  <si>
    <t>St. Charles</t>
  </si>
  <si>
    <t>–90.359314°</t>
  </si>
  <si>
    <t>St. Helena</t>
  </si>
  <si>
    <t>–90.709350°</t>
  </si>
  <si>
    <t>St. James</t>
  </si>
  <si>
    <t>–90.793956°</t>
  </si>
  <si>
    <t>St. John the Baptist</t>
  </si>
  <si>
    <t>–90.504677°</t>
  </si>
  <si>
    <t>St. Landry</t>
  </si>
  <si>
    <t>–91.989275°</t>
  </si>
  <si>
    <t>St. Martin</t>
  </si>
  <si>
    <t>–91.611481°</t>
  </si>
  <si>
    <t>St. Mary</t>
  </si>
  <si>
    <t>–91.463804°</t>
  </si>
  <si>
    <t>St. Tammany</t>
  </si>
  <si>
    <t>–89.951962°</t>
  </si>
  <si>
    <t>Tangipahoa</t>
  </si>
  <si>
    <t>–90.406633°</t>
  </si>
  <si>
    <t>Tensas</t>
  </si>
  <si>
    <t>–91.342576°</t>
  </si>
  <si>
    <t>Terrebonne</t>
  </si>
  <si>
    <t>–90.844191°</t>
  </si>
  <si>
    <t>–92.375650°</t>
  </si>
  <si>
    <t>–92.290090°</t>
  </si>
  <si>
    <t>Vernon</t>
  </si>
  <si>
    <t>–93.181520°</t>
  </si>
  <si>
    <t>–90.046253°</t>
  </si>
  <si>
    <t>–93.339825°</t>
  </si>
  <si>
    <t>West Baton Rouge</t>
  </si>
  <si>
    <t>–91.309808°</t>
  </si>
  <si>
    <t>West Carroll</t>
  </si>
  <si>
    <t>–91.451998°</t>
  </si>
  <si>
    <t>West Feliciana</t>
  </si>
  <si>
    <t>–91.421008°</t>
  </si>
  <si>
    <t>Winn</t>
  </si>
  <si>
    <t>–92.641269°</t>
  </si>
  <si>
    <t>ME</t>
  </si>
  <si>
    <t>Androscoggin</t>
  </si>
  <si>
    <t>–70.207435°</t>
  </si>
  <si>
    <t>Aroostook</t>
  </si>
  <si>
    <t>–68.649410°</t>
  </si>
  <si>
    <t>–70.330375°</t>
  </si>
  <si>
    <t>–70.444727°</t>
  </si>
  <si>
    <t>–68.370703°</t>
  </si>
  <si>
    <t>Kennebec</t>
  </si>
  <si>
    <t>–69.765764°</t>
  </si>
  <si>
    <t>–69.038515°</t>
  </si>
  <si>
    <t>–69.514029°</t>
  </si>
  <si>
    <t>Oxford</t>
  </si>
  <si>
    <t>–70.734688°</t>
  </si>
  <si>
    <t>Penobscot</t>
  </si>
  <si>
    <t>–68.657487°</t>
  </si>
  <si>
    <t>Piscataquis</t>
  </si>
  <si>
    <t>–69.104548°</t>
  </si>
  <si>
    <t>Sagadahoc</t>
  </si>
  <si>
    <t>–69.843994°</t>
  </si>
  <si>
    <t>Somerset</t>
  </si>
  <si>
    <t>–69.976040°</t>
  </si>
  <si>
    <t>Waldo</t>
  </si>
  <si>
    <t>–69.139678°</t>
  </si>
  <si>
    <t>–67.609354°</t>
  </si>
  <si>
    <t>York</t>
  </si>
  <si>
    <t>–70.670402°</t>
  </si>
  <si>
    <t>MD</t>
  </si>
  <si>
    <t>Allegany</t>
  </si>
  <si>
    <t>–78.703108°</t>
  </si>
  <si>
    <t>Anne Arundel</t>
  </si>
  <si>
    <t>–76.560511°</t>
  </si>
  <si>
    <t>Baltimore</t>
  </si>
  <si>
    <t>–76.616569°</t>
  </si>
  <si>
    <t>Calvert</t>
  </si>
  <si>
    <t>–76.525864°</t>
  </si>
  <si>
    <t>Caroline</t>
  </si>
  <si>
    <t>–75.831631°</t>
  </si>
  <si>
    <t>–77.015512°</t>
  </si>
  <si>
    <t>Cecil</t>
  </si>
  <si>
    <t>–75.941584°</t>
  </si>
  <si>
    <t>Charles</t>
  </si>
  <si>
    <t>–77.015427°</t>
  </si>
  <si>
    <t>Dorchester</t>
  </si>
  <si>
    <t>–76.047433°</t>
  </si>
  <si>
    <t>Frederick</t>
  </si>
  <si>
    <t>–77.397627°</t>
  </si>
  <si>
    <t>Garrett</t>
  </si>
  <si>
    <t>–79.269416°</t>
  </si>
  <si>
    <t>Harford</t>
  </si>
  <si>
    <t>–76.299789°</t>
  </si>
  <si>
    <t>–76.924406°</t>
  </si>
  <si>
    <t>–76.124200°</t>
  </si>
  <si>
    <t>–77.203063°</t>
  </si>
  <si>
    <t>Prince George's</t>
  </si>
  <si>
    <t>–76.847272°</t>
  </si>
  <si>
    <t>Queen Anne's</t>
  </si>
  <si>
    <t>–76.082405°</t>
  </si>
  <si>
    <t>St. Mary's</t>
  </si>
  <si>
    <t>–76.534271°</t>
  </si>
  <si>
    <t>–75.853323°</t>
  </si>
  <si>
    <t>–76.179130°</t>
  </si>
  <si>
    <t>–77.814671°</t>
  </si>
  <si>
    <t>Wicomico</t>
  </si>
  <si>
    <t>–75.632206°</t>
  </si>
  <si>
    <t>Worcester</t>
  </si>
  <si>
    <t>–75.309932°</t>
  </si>
  <si>
    <t>Baltimore [9]</t>
  </si>
  <si>
    <t>–76.610516°</t>
  </si>
  <si>
    <t>MA</t>
  </si>
  <si>
    <t>Barnstable</t>
  </si>
  <si>
    <t>–70.211083°</t>
  </si>
  <si>
    <t>Berkshire</t>
  </si>
  <si>
    <t>–73.213948°</t>
  </si>
  <si>
    <t>Bristol</t>
  </si>
  <si>
    <t>–71.087062°</t>
  </si>
  <si>
    <t>Dukes</t>
  </si>
  <si>
    <t>–70.701536°</t>
  </si>
  <si>
    <t>Essex</t>
  </si>
  <si>
    <t>–70.865107°</t>
  </si>
  <si>
    <t>–72.591655°</t>
  </si>
  <si>
    <t>Hampden</t>
  </si>
  <si>
    <t>–72.635648°</t>
  </si>
  <si>
    <t>Hampshire</t>
  </si>
  <si>
    <t>–72.663694°</t>
  </si>
  <si>
    <t>Middlesex</t>
  </si>
  <si>
    <t>–71.396507°</t>
  </si>
  <si>
    <t>Nantucket</t>
  </si>
  <si>
    <t>–70.141910°</t>
  </si>
  <si>
    <t>Norfolk</t>
  </si>
  <si>
    <t>–71.179875°</t>
  </si>
  <si>
    <t>–70.741942°</t>
  </si>
  <si>
    <t>Suffolk</t>
  </si>
  <si>
    <t>–71.020173°</t>
  </si>
  <si>
    <t>–71.940282°</t>
  </si>
  <si>
    <t>MI</t>
  </si>
  <si>
    <t>Alcona</t>
  </si>
  <si>
    <t>–82.834080°</t>
  </si>
  <si>
    <t>Alger</t>
  </si>
  <si>
    <t>–86.564108°</t>
  </si>
  <si>
    <t>Allegan</t>
  </si>
  <si>
    <t>–86.634745°</t>
  </si>
  <si>
    <t>Alpena</t>
  </si>
  <si>
    <t>–83.426574°</t>
  </si>
  <si>
    <t>Antrim</t>
  </si>
  <si>
    <t>–85.175625°</t>
  </si>
  <si>
    <t>Arenac</t>
  </si>
  <si>
    <t>–83.740675°</t>
  </si>
  <si>
    <t>Baraga</t>
  </si>
  <si>
    <t>–88.356022°</t>
  </si>
  <si>
    <t>Barry</t>
  </si>
  <si>
    <t>–85.314550°</t>
  </si>
  <si>
    <t>–83.978701°</t>
  </si>
  <si>
    <t>Benzie</t>
  </si>
  <si>
    <t>–86.494317°</t>
  </si>
  <si>
    <t>–86.741822°</t>
  </si>
  <si>
    <t>Branch</t>
  </si>
  <si>
    <t>–85.066523°</t>
  </si>
  <si>
    <t>–85.012385°</t>
  </si>
  <si>
    <t>–85.999457°</t>
  </si>
  <si>
    <t>Charlevoix</t>
  </si>
  <si>
    <t>–85.450392°</t>
  </si>
  <si>
    <t>Cheboygan</t>
  </si>
  <si>
    <t>–84.495271°</t>
  </si>
  <si>
    <t>Chippewa</t>
  </si>
  <si>
    <t>–84.520630°</t>
  </si>
  <si>
    <t>Clare</t>
  </si>
  <si>
    <t>–84.838325°</t>
  </si>
  <si>
    <t>–84.591695°</t>
  </si>
  <si>
    <t>–84.611132°</t>
  </si>
  <si>
    <t>–86.901373°</t>
  </si>
  <si>
    <t>–87.866119°</t>
  </si>
  <si>
    <t>Eaton</t>
  </si>
  <si>
    <t>–84.846524°</t>
  </si>
  <si>
    <t>–84.986822°</t>
  </si>
  <si>
    <t>Genesee</t>
  </si>
  <si>
    <t>–83.706372°</t>
  </si>
  <si>
    <t>Gladwin</t>
  </si>
  <si>
    <t>–84.389816°</t>
  </si>
  <si>
    <t>Gogebic</t>
  </si>
  <si>
    <t>–89.788314°</t>
  </si>
  <si>
    <t>Grand Traverse</t>
  </si>
  <si>
    <t>–85.553848°</t>
  </si>
  <si>
    <t>Gratiot</t>
  </si>
  <si>
    <t>–84.604690°</t>
  </si>
  <si>
    <t>Hillsdale</t>
  </si>
  <si>
    <t>–84.642409°</t>
  </si>
  <si>
    <t>Houghton</t>
  </si>
  <si>
    <t>–88.652066°</t>
  </si>
  <si>
    <t>Huron</t>
  </si>
  <si>
    <t>–82.857045°</t>
  </si>
  <si>
    <t>Ingham</t>
  </si>
  <si>
    <t>–84.373811°</t>
  </si>
  <si>
    <t>Ionia</t>
  </si>
  <si>
    <t>–85.073766°</t>
  </si>
  <si>
    <t>Iosco</t>
  </si>
  <si>
    <t>–82.849447°</t>
  </si>
  <si>
    <t>Iron</t>
  </si>
  <si>
    <t>–88.540409°</t>
  </si>
  <si>
    <t>Isabella</t>
  </si>
  <si>
    <t>–84.839425°</t>
  </si>
  <si>
    <t>–84.420868°</t>
  </si>
  <si>
    <t>Kalamazoo</t>
  </si>
  <si>
    <t>–85.532854°</t>
  </si>
  <si>
    <t>Kalkaska</t>
  </si>
  <si>
    <t>–85.088992°</t>
  </si>
  <si>
    <t>–85.547446°</t>
  </si>
  <si>
    <t>Keweenaw</t>
  </si>
  <si>
    <t>–88.148802°</t>
  </si>
  <si>
    <t>–85.811400°</t>
  </si>
  <si>
    <t>Lapeer</t>
  </si>
  <si>
    <t>–83.224325°</t>
  </si>
  <si>
    <t>Leelanau</t>
  </si>
  <si>
    <t>–86.051574°</t>
  </si>
  <si>
    <t>Lenawee</t>
  </si>
  <si>
    <t>–84.066853°</t>
  </si>
  <si>
    <t>–83.911718°</t>
  </si>
  <si>
    <t>Luce</t>
  </si>
  <si>
    <t>–85.582368°</t>
  </si>
  <si>
    <t>Mackinac</t>
  </si>
  <si>
    <t>–85.303756°</t>
  </si>
  <si>
    <t>Macomb</t>
  </si>
  <si>
    <t>–82.910869°</t>
  </si>
  <si>
    <t>Manistee</t>
  </si>
  <si>
    <t>–86.602967°</t>
  </si>
  <si>
    <t>Marquette</t>
  </si>
  <si>
    <t>–87.584028°</t>
  </si>
  <si>
    <t>–86.750814°</t>
  </si>
  <si>
    <t>Mecosta</t>
  </si>
  <si>
    <t>–85.332751°</t>
  </si>
  <si>
    <t>Menominee</t>
  </si>
  <si>
    <t>–87.509892°</t>
  </si>
  <si>
    <t>Midland</t>
  </si>
  <si>
    <t>–84.379220°</t>
  </si>
  <si>
    <t>Missaukee</t>
  </si>
  <si>
    <t>–85.085471°</t>
  </si>
  <si>
    <t>–83.487106°</t>
  </si>
  <si>
    <t>Montcalm</t>
  </si>
  <si>
    <t>–85.149468°</t>
  </si>
  <si>
    <t>Montmorency</t>
  </si>
  <si>
    <t>–84.130107°</t>
  </si>
  <si>
    <t>Muskegon</t>
  </si>
  <si>
    <t>–86.751892°</t>
  </si>
  <si>
    <t>Newaygo</t>
  </si>
  <si>
    <t>–85.791423°</t>
  </si>
  <si>
    <t>Oakland</t>
  </si>
  <si>
    <t>–83.384210°</t>
  </si>
  <si>
    <t>Oceana</t>
  </si>
  <si>
    <t>–86.807575°</t>
  </si>
  <si>
    <t>Ogemaw</t>
  </si>
  <si>
    <t>–84.128073°</t>
  </si>
  <si>
    <t>Ontonagon</t>
  </si>
  <si>
    <t>–89.500461°</t>
  </si>
  <si>
    <t>–85.322283°</t>
  </si>
  <si>
    <t>Oscoda</t>
  </si>
  <si>
    <t>–84.124894°</t>
  </si>
  <si>
    <t>Otsego</t>
  </si>
  <si>
    <t>–84.576597°</t>
  </si>
  <si>
    <t>–86.655342°</t>
  </si>
  <si>
    <t>Presque Isle</t>
  </si>
  <si>
    <t>–83.384019°</t>
  </si>
  <si>
    <t>Roscommon</t>
  </si>
  <si>
    <t>–84.611272°</t>
  </si>
  <si>
    <t>Saginaw</t>
  </si>
  <si>
    <t>–84.055410°</t>
  </si>
  <si>
    <t>–82.668914°</t>
  </si>
  <si>
    <t>–85.522870°</t>
  </si>
  <si>
    <t>Sanilac</t>
  </si>
  <si>
    <t>–82.642815°</t>
  </si>
  <si>
    <t>Schoolcraft</t>
  </si>
  <si>
    <t>–86.199352°</t>
  </si>
  <si>
    <t>Shiawassee</t>
  </si>
  <si>
    <t>–84.146352°</t>
  </si>
  <si>
    <t>Tuscola</t>
  </si>
  <si>
    <t>–83.436618°</t>
  </si>
  <si>
    <t>–86.305697°</t>
  </si>
  <si>
    <t>Washtenaw</t>
  </si>
  <si>
    <t>–83.844634°</t>
  </si>
  <si>
    <t>–83.261953°</t>
  </si>
  <si>
    <t>Wexford</t>
  </si>
  <si>
    <t>–85.570046°</t>
  </si>
  <si>
    <t>MN</t>
  </si>
  <si>
    <t>Aitkin</t>
  </si>
  <si>
    <t>–93.419760°</t>
  </si>
  <si>
    <t>Anoka</t>
  </si>
  <si>
    <t>–93.242723°</t>
  </si>
  <si>
    <t>Becker</t>
  </si>
  <si>
    <t>–95.741757°</t>
  </si>
  <si>
    <t>Beltrami</t>
  </si>
  <si>
    <t>–94.986698°</t>
  </si>
  <si>
    <t>–94.001440°</t>
  </si>
  <si>
    <t>Big Stone</t>
  </si>
  <si>
    <t>–96.402226°</t>
  </si>
  <si>
    <t>Blue Earth</t>
  </si>
  <si>
    <t>–94.064071°</t>
  </si>
  <si>
    <t>–94.733647°</t>
  </si>
  <si>
    <t>Carlton</t>
  </si>
  <si>
    <t>–92.671044°</t>
  </si>
  <si>
    <t>Carver</t>
  </si>
  <si>
    <t>–93.800575°</t>
  </si>
  <si>
    <t>–94.333773°</t>
  </si>
  <si>
    <t>–95.564108°</t>
  </si>
  <si>
    <t>Chisago</t>
  </si>
  <si>
    <t>–92.903849°</t>
  </si>
  <si>
    <t>–96.494901°</t>
  </si>
  <si>
    <t>–95.371117°</t>
  </si>
  <si>
    <t>–90.290190°</t>
  </si>
  <si>
    <t>Cottonwood</t>
  </si>
  <si>
    <t>–95.183130°</t>
  </si>
  <si>
    <t>Crow Wing</t>
  </si>
  <si>
    <t>–94.071213°</t>
  </si>
  <si>
    <t>Dakota</t>
  </si>
  <si>
    <t>–93.062481°</t>
  </si>
  <si>
    <t>–92.869353°</t>
  </si>
  <si>
    <t>–95.460610°</t>
  </si>
  <si>
    <t>Faribault</t>
  </si>
  <si>
    <t>–93.947234°</t>
  </si>
  <si>
    <t>Fillmore</t>
  </si>
  <si>
    <t>–92.093681°</t>
  </si>
  <si>
    <t>Freeborn</t>
  </si>
  <si>
    <t>–93.350289°</t>
  </si>
  <si>
    <t>Goodhue</t>
  </si>
  <si>
    <t>–92.716000°</t>
  </si>
  <si>
    <t>–96.010699°</t>
  </si>
  <si>
    <t>Hennepin</t>
  </si>
  <si>
    <t>–93.475185°</t>
  </si>
  <si>
    <t>–91.501556°</t>
  </si>
  <si>
    <t>Hubbard</t>
  </si>
  <si>
    <t>–94.913290°</t>
  </si>
  <si>
    <t>Isanti</t>
  </si>
  <si>
    <t>–93.296339°</t>
  </si>
  <si>
    <t>Itasca</t>
  </si>
  <si>
    <t>–93.613128°</t>
  </si>
  <si>
    <t>–95.149704°</t>
  </si>
  <si>
    <t>Kanabec</t>
  </si>
  <si>
    <t>–93.297788°</t>
  </si>
  <si>
    <t>Kandiyohi</t>
  </si>
  <si>
    <t>–95.004981°</t>
  </si>
  <si>
    <t>Kittson</t>
  </si>
  <si>
    <t>–96.780349°</t>
  </si>
  <si>
    <t>Koochiching</t>
  </si>
  <si>
    <t>–93.782842°</t>
  </si>
  <si>
    <t>Lac qui Parle</t>
  </si>
  <si>
    <t>–96.176836°</t>
  </si>
  <si>
    <t>–91.411704°</t>
  </si>
  <si>
    <t>Lake of the Woods</t>
  </si>
  <si>
    <t>–94.904634°</t>
  </si>
  <si>
    <t>Le Sueur</t>
  </si>
  <si>
    <t>–93.730180°</t>
  </si>
  <si>
    <t>–96.272032°</t>
  </si>
  <si>
    <t>–95.847268°</t>
  </si>
  <si>
    <t>McLeod</t>
  </si>
  <si>
    <t>–94.272320°</t>
  </si>
  <si>
    <t>Mahnomen</t>
  </si>
  <si>
    <t>–95.810703°</t>
  </si>
  <si>
    <t>–96.357761°</t>
  </si>
  <si>
    <t>–94.537198°</t>
  </si>
  <si>
    <t>Meeker</t>
  </si>
  <si>
    <t>–94.527346°</t>
  </si>
  <si>
    <t>Mille Lacs</t>
  </si>
  <si>
    <t>–93.632996°</t>
  </si>
  <si>
    <t>Morrison</t>
  </si>
  <si>
    <t>–94.266619°</t>
  </si>
  <si>
    <t>Mower</t>
  </si>
  <si>
    <t>–92.759514°</t>
  </si>
  <si>
    <t>–95.761581°</t>
  </si>
  <si>
    <t>Nicollet</t>
  </si>
  <si>
    <t>–94.245685°</t>
  </si>
  <si>
    <t>Nobles</t>
  </si>
  <si>
    <t>–95.763132°</t>
  </si>
  <si>
    <t>Norman</t>
  </si>
  <si>
    <t>–96.463807°</t>
  </si>
  <si>
    <t>Olmsted</t>
  </si>
  <si>
    <t>–92.406722°</t>
  </si>
  <si>
    <t>Otter Tail</t>
  </si>
  <si>
    <t>–95.714578°</t>
  </si>
  <si>
    <t>Pennington</t>
  </si>
  <si>
    <t>–96.037725°</t>
  </si>
  <si>
    <t>Pine</t>
  </si>
  <si>
    <t>–92.763094°</t>
  </si>
  <si>
    <t>Pipestone</t>
  </si>
  <si>
    <t>–96.257015°</t>
  </si>
  <si>
    <t>–96.400027°</t>
  </si>
  <si>
    <t>–95.446705°</t>
  </si>
  <si>
    <t>Ramsey</t>
  </si>
  <si>
    <t>–93.100141°</t>
  </si>
  <si>
    <t>Red Lake</t>
  </si>
  <si>
    <t>–96.087180°</t>
  </si>
  <si>
    <t>Redwood</t>
  </si>
  <si>
    <t>–95.254242°</t>
  </si>
  <si>
    <t>Renville</t>
  </si>
  <si>
    <t>–94.955617°</t>
  </si>
  <si>
    <t>–93.298503°</t>
  </si>
  <si>
    <t>Rock</t>
  </si>
  <si>
    <t>–96.263238°</t>
  </si>
  <si>
    <t>Roseau</t>
  </si>
  <si>
    <t>–95.821530°</t>
  </si>
  <si>
    <t>St. Louis</t>
  </si>
  <si>
    <t>–92.463645°</t>
  </si>
  <si>
    <t>–93.534553°</t>
  </si>
  <si>
    <t>Sherburne</t>
  </si>
  <si>
    <t>–93.775092°</t>
  </si>
  <si>
    <t>Sibley</t>
  </si>
  <si>
    <t>–94.230123°</t>
  </si>
  <si>
    <t>Stearns</t>
  </si>
  <si>
    <t>–94.610482°</t>
  </si>
  <si>
    <t>Steele</t>
  </si>
  <si>
    <t>–93.220453°</t>
  </si>
  <si>
    <t>–95.992315°</t>
  </si>
  <si>
    <t>Swift</t>
  </si>
  <si>
    <t>–95.690398°</t>
  </si>
  <si>
    <t>–94.900576°</t>
  </si>
  <si>
    <t>Traverse</t>
  </si>
  <si>
    <t>–96.475049°</t>
  </si>
  <si>
    <t>Wabasha</t>
  </si>
  <si>
    <t>–92.233341°</t>
  </si>
  <si>
    <t>Wadena</t>
  </si>
  <si>
    <t>–94.988331°</t>
  </si>
  <si>
    <t>Waseca</t>
  </si>
  <si>
    <t>–93.589844°</t>
  </si>
  <si>
    <t>–92.890117°</t>
  </si>
  <si>
    <t>Watonwan</t>
  </si>
  <si>
    <t>–94.614128°</t>
  </si>
  <si>
    <t>Wilkin</t>
  </si>
  <si>
    <t>–96.476657°</t>
  </si>
  <si>
    <t>Winona</t>
  </si>
  <si>
    <t>–91.776708°</t>
  </si>
  <si>
    <t>–93.966397°</t>
  </si>
  <si>
    <t>Yellow Medicine</t>
  </si>
  <si>
    <t>–95.862756°</t>
  </si>
  <si>
    <t>MS</t>
  </si>
  <si>
    <t>–91.351781°</t>
  </si>
  <si>
    <t>Alcorn</t>
  </si>
  <si>
    <t>–88.581014°</t>
  </si>
  <si>
    <t>Amite</t>
  </si>
  <si>
    <t>–90.795542°</t>
  </si>
  <si>
    <t>Attala</t>
  </si>
  <si>
    <t>–89.588622°</t>
  </si>
  <si>
    <t>–89.200029°</t>
  </si>
  <si>
    <t>Bolivar</t>
  </si>
  <si>
    <t>–90.884476°</t>
  </si>
  <si>
    <t>–89.337114°</t>
  </si>
  <si>
    <t>–89.918887°</t>
  </si>
  <si>
    <t>–88.945808°</t>
  </si>
  <si>
    <t>–89.251332°</t>
  </si>
  <si>
    <t>–90.915424°</t>
  </si>
  <si>
    <t>–88.685964°</t>
  </si>
  <si>
    <t>–88.783326°</t>
  </si>
  <si>
    <t>Coahoma</t>
  </si>
  <si>
    <t>–90.603165°</t>
  </si>
  <si>
    <t>Copiah</t>
  </si>
  <si>
    <t>–90.448758°</t>
  </si>
  <si>
    <t>–89.548897°</t>
  </si>
  <si>
    <t>–89.993240°</t>
  </si>
  <si>
    <t>Forrest</t>
  </si>
  <si>
    <t>–89.259447°</t>
  </si>
  <si>
    <t>–90.895884°</t>
  </si>
  <si>
    <t>George</t>
  </si>
  <si>
    <t>–88.642268°</t>
  </si>
  <si>
    <t>–88.634811°</t>
  </si>
  <si>
    <t>Grenada</t>
  </si>
  <si>
    <t>–89.802740°</t>
  </si>
  <si>
    <t>–89.479850°</t>
  </si>
  <si>
    <t>–89.083376°</t>
  </si>
  <si>
    <t>Hinds</t>
  </si>
  <si>
    <t>–90.465900°</t>
  </si>
  <si>
    <t>–90.091197°</t>
  </si>
  <si>
    <t>Humphreys</t>
  </si>
  <si>
    <t>–90.523911°</t>
  </si>
  <si>
    <t>Issaquena</t>
  </si>
  <si>
    <t>–90.988552°</t>
  </si>
  <si>
    <t>Itawamba</t>
  </si>
  <si>
    <t>–88.363127°</t>
  </si>
  <si>
    <t>–88.619991°</t>
  </si>
  <si>
    <t>–89.119430°</t>
  </si>
  <si>
    <t>–91.043878°</t>
  </si>
  <si>
    <t>–89.826626°</t>
  </si>
  <si>
    <t>–89.167262°</t>
  </si>
  <si>
    <t>Kemper</t>
  </si>
  <si>
    <t>–88.625631°</t>
  </si>
  <si>
    <t>–89.485903°</t>
  </si>
  <si>
    <t>–89.514952°</t>
  </si>
  <si>
    <t>–88.660449°</t>
  </si>
  <si>
    <t>–90.107530°</t>
  </si>
  <si>
    <t>Leake</t>
  </si>
  <si>
    <t>–89.522568°</t>
  </si>
  <si>
    <t>–88.680887°</t>
  </si>
  <si>
    <t>Leflore</t>
  </si>
  <si>
    <t>–90.294934°</t>
  </si>
  <si>
    <t>–90.453566°</t>
  </si>
  <si>
    <t>–88.439723°</t>
  </si>
  <si>
    <t>–90.034160°</t>
  </si>
  <si>
    <t>–89.821736°</t>
  </si>
  <si>
    <t>–89.504231°</t>
  </si>
  <si>
    <t>–88.485038°</t>
  </si>
  <si>
    <t>–89.639625°</t>
  </si>
  <si>
    <t>Neshoba</t>
  </si>
  <si>
    <t>–89.119274°</t>
  </si>
  <si>
    <t>–89.118412°</t>
  </si>
  <si>
    <t>Noxubee</t>
  </si>
  <si>
    <t>–88.565787°</t>
  </si>
  <si>
    <t>Oktibbeha</t>
  </si>
  <si>
    <t>–88.876151°</t>
  </si>
  <si>
    <t>Panola</t>
  </si>
  <si>
    <t>–89.963065°</t>
  </si>
  <si>
    <t>Pearl River</t>
  </si>
  <si>
    <t>–89.586832°</t>
  </si>
  <si>
    <t>–88.988755°</t>
  </si>
  <si>
    <t>–90.397725°</t>
  </si>
  <si>
    <t>Pontotoc</t>
  </si>
  <si>
    <t>–89.037239°</t>
  </si>
  <si>
    <t>Prentiss</t>
  </si>
  <si>
    <t>–88.522240°</t>
  </si>
  <si>
    <t>–90.290525°</t>
  </si>
  <si>
    <t>Rankin</t>
  </si>
  <si>
    <t>–89.946552°</t>
  </si>
  <si>
    <t>–89.533209°</t>
  </si>
  <si>
    <t>Sharkey</t>
  </si>
  <si>
    <t>–90.827388°</t>
  </si>
  <si>
    <t>–89.917707°</t>
  </si>
  <si>
    <t>–89.494973°</t>
  </si>
  <si>
    <t>–89.112297°</t>
  </si>
  <si>
    <t>Sunflower</t>
  </si>
  <si>
    <t>–90.595090°</t>
  </si>
  <si>
    <t>Tallahatchie</t>
  </si>
  <si>
    <t>–90.172833°</t>
  </si>
  <si>
    <t>Tate</t>
  </si>
  <si>
    <t>–89.943105°</t>
  </si>
  <si>
    <t>Tippah</t>
  </si>
  <si>
    <t>–88.918819°</t>
  </si>
  <si>
    <t>Tishomingo</t>
  </si>
  <si>
    <t>–88.236067°</t>
  </si>
  <si>
    <t>Tunica</t>
  </si>
  <si>
    <t>–90.371770°</t>
  </si>
  <si>
    <t>–89.002300°</t>
  </si>
  <si>
    <t>Walthall</t>
  </si>
  <si>
    <t>–90.103431°</t>
  </si>
  <si>
    <t>–90.851791°</t>
  </si>
  <si>
    <t>–90.944430°</t>
  </si>
  <si>
    <t>–88.682057°</t>
  </si>
  <si>
    <t>–89.283836°</t>
  </si>
  <si>
    <t>–91.325567°</t>
  </si>
  <si>
    <t>–89.037391°</t>
  </si>
  <si>
    <t>Yalobusha</t>
  </si>
  <si>
    <t>–89.703793°</t>
  </si>
  <si>
    <t>Yazoo</t>
  </si>
  <si>
    <t>–90.387928°</t>
  </si>
  <si>
    <t>MO</t>
  </si>
  <si>
    <t>–92.603592°</t>
  </si>
  <si>
    <t>Andrew</t>
  </si>
  <si>
    <t>–94.803551°</t>
  </si>
  <si>
    <t>–95.437555°</t>
  </si>
  <si>
    <t>Audrain</t>
  </si>
  <si>
    <t>–91.843415°</t>
  </si>
  <si>
    <t>–93.834326°</t>
  </si>
  <si>
    <t>–94.344089°</t>
  </si>
  <si>
    <t>Bates</t>
  </si>
  <si>
    <t>–94.339246°</t>
  </si>
  <si>
    <t>–93.287942°</t>
  </si>
  <si>
    <t>Bollinger</t>
  </si>
  <si>
    <t>–90.024601°</t>
  </si>
  <si>
    <t>–92.310779°</t>
  </si>
  <si>
    <t>–94.808173°</t>
  </si>
  <si>
    <t>–90.403130°</t>
  </si>
  <si>
    <t>–93.979179°</t>
  </si>
  <si>
    <t>Callaway</t>
  </si>
  <si>
    <t>–91.924089°</t>
  </si>
  <si>
    <t>–92.765138°</t>
  </si>
  <si>
    <t>Cape Girardeau</t>
  </si>
  <si>
    <t>–89.684908°</t>
  </si>
  <si>
    <t>–93.500227°</t>
  </si>
  <si>
    <t>–90.945626°</t>
  </si>
  <si>
    <t>–94.354242°</t>
  </si>
  <si>
    <t>–93.850014°</t>
  </si>
  <si>
    <t>Chariton</t>
  </si>
  <si>
    <t>–92.961621°</t>
  </si>
  <si>
    <t>–93.187614°</t>
  </si>
  <si>
    <t>–91.729472°</t>
  </si>
  <si>
    <t>–94.421502°</t>
  </si>
  <si>
    <t>–94.395803°</t>
  </si>
  <si>
    <t>Cole</t>
  </si>
  <si>
    <t>–92.271404°</t>
  </si>
  <si>
    <t>Cooper</t>
  </si>
  <si>
    <t>–92.812323°</t>
  </si>
  <si>
    <t>–91.313933°</t>
  </si>
  <si>
    <t>–93.854878°</t>
  </si>
  <si>
    <t>–93.033812°</t>
  </si>
  <si>
    <t>–93.970053°</t>
  </si>
  <si>
    <t>–94.407190°</t>
  </si>
  <si>
    <t>Dent</t>
  </si>
  <si>
    <t>–91.495916°</t>
  </si>
  <si>
    <t>–92.515892°</t>
  </si>
  <si>
    <t>Dunklin</t>
  </si>
  <si>
    <t>–90.062254°</t>
  </si>
  <si>
    <t>–91.073410°</t>
  </si>
  <si>
    <t>Gasconade</t>
  </si>
  <si>
    <t>–91.505780°</t>
  </si>
  <si>
    <t>Gentry</t>
  </si>
  <si>
    <t>–94.404110°</t>
  </si>
  <si>
    <t>–93.340641°</t>
  </si>
  <si>
    <t>–93.565054°</t>
  </si>
  <si>
    <t>–93.992582°</t>
  </si>
  <si>
    <t>–93.792628°</t>
  </si>
  <si>
    <t>Hickory</t>
  </si>
  <si>
    <t>–93.322835°</t>
  </si>
  <si>
    <t>Holt</t>
  </si>
  <si>
    <t>–95.219072°</t>
  </si>
  <si>
    <t>–92.695926°</t>
  </si>
  <si>
    <t>Howell</t>
  </si>
  <si>
    <t>–91.887368°</t>
  </si>
  <si>
    <t>–90.699627°</t>
  </si>
  <si>
    <t>–94.342507°</t>
  </si>
  <si>
    <t>–94.338869°</t>
  </si>
  <si>
    <t>–90.543138°</t>
  </si>
  <si>
    <t>–93.805999°</t>
  </si>
  <si>
    <t>–92.146809°</t>
  </si>
  <si>
    <t>Laclede</t>
  </si>
  <si>
    <t>–92.594832°</t>
  </si>
  <si>
    <t>–93.802639°</t>
  </si>
  <si>
    <t>–93.833262°</t>
  </si>
  <si>
    <t>–91.728803°</t>
  </si>
  <si>
    <t>–90.957771°</t>
  </si>
  <si>
    <t>–93.108019°</t>
  </si>
  <si>
    <t>–93.548201°</t>
  </si>
  <si>
    <t>McDonald</t>
  </si>
  <si>
    <t>–94.343956°</t>
  </si>
  <si>
    <t>–92.564340°</t>
  </si>
  <si>
    <t>–90.345453°</t>
  </si>
  <si>
    <t>Maries</t>
  </si>
  <si>
    <t>–91.923601°</t>
  </si>
  <si>
    <t>–91.635379°</t>
  </si>
  <si>
    <t>–93.567631°</t>
  </si>
  <si>
    <t>–92.429871°</t>
  </si>
  <si>
    <t>–89.295929°</t>
  </si>
  <si>
    <t>Moniteau</t>
  </si>
  <si>
    <t>–92.583642°</t>
  </si>
  <si>
    <t>–92.006458°</t>
  </si>
  <si>
    <t>–91.465437°</t>
  </si>
  <si>
    <t>–92.874835°</t>
  </si>
  <si>
    <t>New Madrid</t>
  </si>
  <si>
    <t>–89.655949°</t>
  </si>
  <si>
    <t>–94.334741°</t>
  </si>
  <si>
    <t>Nodaway</t>
  </si>
  <si>
    <t>–94.883281°</t>
  </si>
  <si>
    <t>Oregon</t>
  </si>
  <si>
    <t>–91.402902°</t>
  </si>
  <si>
    <t>–91.859504°</t>
  </si>
  <si>
    <t>Ozark</t>
  </si>
  <si>
    <t>–92.458580°</t>
  </si>
  <si>
    <t>Pemiscot</t>
  </si>
  <si>
    <t>–89.785942°</t>
  </si>
  <si>
    <t>–89.802125°</t>
  </si>
  <si>
    <t>Pettis</t>
  </si>
  <si>
    <t>–93.285207°</t>
  </si>
  <si>
    <t>Phelps</t>
  </si>
  <si>
    <t>–91.790349°</t>
  </si>
  <si>
    <t>–91.171042°</t>
  </si>
  <si>
    <t>Platte</t>
  </si>
  <si>
    <t>–94.761472°</t>
  </si>
  <si>
    <t>–93.400817°</t>
  </si>
  <si>
    <t>–92.207022°</t>
  </si>
  <si>
    <t>–93.014531°</t>
  </si>
  <si>
    <t>Ralls</t>
  </si>
  <si>
    <t>–91.524787°</t>
  </si>
  <si>
    <t>–92.492725°</t>
  </si>
  <si>
    <t>Ray</t>
  </si>
  <si>
    <t>–93.995746°</t>
  </si>
  <si>
    <t>Reynolds</t>
  </si>
  <si>
    <t>–90.969516°</t>
  </si>
  <si>
    <t>–90.867060°</t>
  </si>
  <si>
    <t>–90.674915°</t>
  </si>
  <si>
    <t>–93.773077°</t>
  </si>
  <si>
    <t>Ste. Genevieve</t>
  </si>
  <si>
    <t>–90.181170°</t>
  </si>
  <si>
    <t>St. Francois</t>
  </si>
  <si>
    <t>–90.473868°</t>
  </si>
  <si>
    <t>–90.445954°</t>
  </si>
  <si>
    <t>–93.204164°</t>
  </si>
  <si>
    <t>–92.519016°</t>
  </si>
  <si>
    <t>Scotland</t>
  </si>
  <si>
    <t>–92.142824°</t>
  </si>
  <si>
    <t>–89.568098°</t>
  </si>
  <si>
    <t>Shannon</t>
  </si>
  <si>
    <t>–91.398364°</t>
  </si>
  <si>
    <t>–92.088719°</t>
  </si>
  <si>
    <t>Stoddard</t>
  </si>
  <si>
    <t>–89.941735°</t>
  </si>
  <si>
    <t>–93.467782°</t>
  </si>
  <si>
    <t>–93.109783°</t>
  </si>
  <si>
    <t>Taney</t>
  </si>
  <si>
    <t>–93.042819°</t>
  </si>
  <si>
    <t>Texas</t>
  </si>
  <si>
    <t>–91.964478°</t>
  </si>
  <si>
    <t>–94.341597°</t>
  </si>
  <si>
    <t>–91.159307°</t>
  </si>
  <si>
    <t>–90.897056°</t>
  </si>
  <si>
    <t>–90.460868°</t>
  </si>
  <si>
    <t>–92.876080°</t>
  </si>
  <si>
    <t>–94.419129°</t>
  </si>
  <si>
    <t>–92.480010°</t>
  </si>
  <si>
    <t>St. Louis [9]</t>
  </si>
  <si>
    <t>–90.244582°</t>
  </si>
  <si>
    <t>MT</t>
  </si>
  <si>
    <t>Beaverhead</t>
  </si>
  <si>
    <t>–112.892869°</t>
  </si>
  <si>
    <t>Big Horn</t>
  </si>
  <si>
    <t>–107.518163°</t>
  </si>
  <si>
    <t>–108.967648°</t>
  </si>
  <si>
    <t>Broadwater</t>
  </si>
  <si>
    <t>–111.496103°</t>
  </si>
  <si>
    <t>Carbon</t>
  </si>
  <si>
    <t>–109.028551°</t>
  </si>
  <si>
    <t>–104.515324°</t>
  </si>
  <si>
    <t>Cascade</t>
  </si>
  <si>
    <t>–111.350571°</t>
  </si>
  <si>
    <t>Chouteau</t>
  </si>
  <si>
    <t>–110.436189°</t>
  </si>
  <si>
    <t>–105.550508°</t>
  </si>
  <si>
    <t>Daniels</t>
  </si>
  <si>
    <t>–105.541739°</t>
  </si>
  <si>
    <t>–104.901027°</t>
  </si>
  <si>
    <t>Deer Lodge</t>
  </si>
  <si>
    <t>–113.139108°</t>
  </si>
  <si>
    <t>Fallon</t>
  </si>
  <si>
    <t>–104.405718°</t>
  </si>
  <si>
    <t>Fergus</t>
  </si>
  <si>
    <t>–109.223280°</t>
  </si>
  <si>
    <t>Flathead</t>
  </si>
  <si>
    <t>–114.054319°</t>
  </si>
  <si>
    <t>–111.173443°</t>
  </si>
  <si>
    <t>–106.982212°</t>
  </si>
  <si>
    <t>Glacier</t>
  </si>
  <si>
    <t>–112.990502°</t>
  </si>
  <si>
    <t>Golden Valley</t>
  </si>
  <si>
    <t>–109.174586°</t>
  </si>
  <si>
    <t>Granite</t>
  </si>
  <si>
    <t>–113.425683°</t>
  </si>
  <si>
    <t>Hill</t>
  </si>
  <si>
    <t>–110.106372°</t>
  </si>
  <si>
    <t>–112.056771°</t>
  </si>
  <si>
    <t>Judith Basin</t>
  </si>
  <si>
    <t>–110.305320°</t>
  </si>
  <si>
    <t>–114.083687°</t>
  </si>
  <si>
    <t>Lewis and Clark</t>
  </si>
  <si>
    <t>–112.382954°</t>
  </si>
  <si>
    <t>–111.036924°</t>
  </si>
  <si>
    <t>–115.404343°</t>
  </si>
  <si>
    <t>McCone</t>
  </si>
  <si>
    <t>–105.757222°</t>
  </si>
  <si>
    <t>–111.917328°</t>
  </si>
  <si>
    <t>Meagher</t>
  </si>
  <si>
    <t>–110.921781°</t>
  </si>
  <si>
    <t>–115.064550°</t>
  </si>
  <si>
    <t>Missoula</t>
  </si>
  <si>
    <t>–113.892681°</t>
  </si>
  <si>
    <t>Musselshell</t>
  </si>
  <si>
    <t>–108.436982°</t>
  </si>
  <si>
    <t>–110.532798°</t>
  </si>
  <si>
    <t>Petroleum</t>
  </si>
  <si>
    <t>–108.226575°</t>
  </si>
  <si>
    <t>–107.928833°</t>
  </si>
  <si>
    <t>Pondera</t>
  </si>
  <si>
    <t>–112.219928°</t>
  </si>
  <si>
    <t>Powder River</t>
  </si>
  <si>
    <t>–105.555259°</t>
  </si>
  <si>
    <t>–112.931100°</t>
  </si>
  <si>
    <t>–105.375808°</t>
  </si>
  <si>
    <t>Ravalli</t>
  </si>
  <si>
    <t>–114.119065°</t>
  </si>
  <si>
    <t>–104.563387°</t>
  </si>
  <si>
    <t>Roosevelt</t>
  </si>
  <si>
    <t>–104.995170°</t>
  </si>
  <si>
    <t>Rosebud</t>
  </si>
  <si>
    <t>–106.701953°</t>
  </si>
  <si>
    <t>Sanders</t>
  </si>
  <si>
    <t>–115.180225°</t>
  </si>
  <si>
    <t>–104.533913°</t>
  </si>
  <si>
    <t>Silver Bow</t>
  </si>
  <si>
    <t>–112.660222°</t>
  </si>
  <si>
    <t>Stillwater</t>
  </si>
  <si>
    <t>–109.391752°</t>
  </si>
  <si>
    <t>Sweet Grass</t>
  </si>
  <si>
    <t>–109.941312°</t>
  </si>
  <si>
    <t>–112.281725°</t>
  </si>
  <si>
    <t>Toole</t>
  </si>
  <si>
    <t>–111.733493°</t>
  </si>
  <si>
    <t>Treasure</t>
  </si>
  <si>
    <t>–107.280494°</t>
  </si>
  <si>
    <t>–106.687883°</t>
  </si>
  <si>
    <t>Wheatland</t>
  </si>
  <si>
    <t>–109.857147°</t>
  </si>
  <si>
    <t>Wibaux</t>
  </si>
  <si>
    <t>–104.274466°</t>
  </si>
  <si>
    <t>Yellowstone</t>
  </si>
  <si>
    <t>–108.276656°</t>
  </si>
  <si>
    <t>NE</t>
  </si>
  <si>
    <t>–98.500044°</t>
  </si>
  <si>
    <t>Antelope</t>
  </si>
  <si>
    <t>–98.058037°</t>
  </si>
  <si>
    <t>Arthur</t>
  </si>
  <si>
    <t>–101.697045°</t>
  </si>
  <si>
    <t>Banner</t>
  </si>
  <si>
    <t>–103.726263°</t>
  </si>
  <si>
    <t>–99.990771°</t>
  </si>
  <si>
    <t>–98.066794°</t>
  </si>
  <si>
    <t>Box Butte</t>
  </si>
  <si>
    <t>–103.087821°</t>
  </si>
  <si>
    <t>–98.773022°</t>
  </si>
  <si>
    <t>–99.923176°</t>
  </si>
  <si>
    <t>Buffalo</t>
  </si>
  <si>
    <t>–99.074983°</t>
  </si>
  <si>
    <t>Burt</t>
  </si>
  <si>
    <t>–96.337746°</t>
  </si>
  <si>
    <t>–97.132040°</t>
  </si>
  <si>
    <t>–96.140609°</t>
  </si>
  <si>
    <t>–97.256824°</t>
  </si>
  <si>
    <t>–101.694192°</t>
  </si>
  <si>
    <t>Cherry</t>
  </si>
  <si>
    <t>–101.072622°</t>
  </si>
  <si>
    <t>–103.011929°</t>
  </si>
  <si>
    <t>–98.051050°</t>
  </si>
  <si>
    <t>Colfax</t>
  </si>
  <si>
    <t>–97.089455°</t>
  </si>
  <si>
    <t>Cuming</t>
  </si>
  <si>
    <t>–96.788517°</t>
  </si>
  <si>
    <t>–99.726866°</t>
  </si>
  <si>
    <t>–96.562549°</t>
  </si>
  <si>
    <t>Dawes</t>
  </si>
  <si>
    <t>–103.134872°</t>
  </si>
  <si>
    <t>–99.815154°</t>
  </si>
  <si>
    <t>Deuel</t>
  </si>
  <si>
    <t>–102.332604°</t>
  </si>
  <si>
    <t>Dixon</t>
  </si>
  <si>
    <t>–96.855862°</t>
  </si>
  <si>
    <t>–96.645853°</t>
  </si>
  <si>
    <t>–96.154066°</t>
  </si>
  <si>
    <t>Dundy</t>
  </si>
  <si>
    <t>–101.681133°</t>
  </si>
  <si>
    <t>–97.596705°</t>
  </si>
  <si>
    <t>–98.962080°</t>
  </si>
  <si>
    <t>Frontier</t>
  </si>
  <si>
    <t>–100.406683°</t>
  </si>
  <si>
    <t>Furnas</t>
  </si>
  <si>
    <t>–99.909661°</t>
  </si>
  <si>
    <t>Gage</t>
  </si>
  <si>
    <t>–96.683453°</t>
  </si>
  <si>
    <t>Garden</t>
  </si>
  <si>
    <t>–102.328229°</t>
  </si>
  <si>
    <t>–98.922998°</t>
  </si>
  <si>
    <t>Gosper</t>
  </si>
  <si>
    <t>–99.824078°</t>
  </si>
  <si>
    <t>–101.756875°</t>
  </si>
  <si>
    <t>–98.530566°</t>
  </si>
  <si>
    <t>–98.498004°</t>
  </si>
  <si>
    <t>–98.021943°</t>
  </si>
  <si>
    <t>–99.403418°</t>
  </si>
  <si>
    <t>Hayes</t>
  </si>
  <si>
    <t>–101.055580°</t>
  </si>
  <si>
    <t>Hitchcock</t>
  </si>
  <si>
    <t>–101.044217°</t>
  </si>
  <si>
    <t>–98.784766°</t>
  </si>
  <si>
    <t>Hooker</t>
  </si>
  <si>
    <t>–101.116810°</t>
  </si>
  <si>
    <t>–98.513303°</t>
  </si>
  <si>
    <t>–97.143103°</t>
  </si>
  <si>
    <t>–96.268562°</t>
  </si>
  <si>
    <t>Kearney</t>
  </si>
  <si>
    <t>–98.948461°</t>
  </si>
  <si>
    <t>Keith</t>
  </si>
  <si>
    <t>–101.644474°</t>
  </si>
  <si>
    <t>Keya Paha</t>
  </si>
  <si>
    <t>–99.718351°</t>
  </si>
  <si>
    <t>Kimball</t>
  </si>
  <si>
    <t>–103.711105°</t>
  </si>
  <si>
    <t>–97.891349°</t>
  </si>
  <si>
    <t>Lancaster</t>
  </si>
  <si>
    <t>–96.688658°</t>
  </si>
  <si>
    <t>–100.744481°</t>
  </si>
  <si>
    <t>–100.443665°</t>
  </si>
  <si>
    <t>Loup</t>
  </si>
  <si>
    <t>–99.509764°</t>
  </si>
  <si>
    <t>–101.060237°</t>
  </si>
  <si>
    <t>–97.606856°</t>
  </si>
  <si>
    <t>Merrick</t>
  </si>
  <si>
    <t>–98.031051°</t>
  </si>
  <si>
    <t>Morrill</t>
  </si>
  <si>
    <t>–102.990599°</t>
  </si>
  <si>
    <t>Nance</t>
  </si>
  <si>
    <t>–97.991408°</t>
  </si>
  <si>
    <t>–95.850954°</t>
  </si>
  <si>
    <t>Nuckolls</t>
  </si>
  <si>
    <t>–98.046842°</t>
  </si>
  <si>
    <t>Otoe</t>
  </si>
  <si>
    <t>–96.131027°</t>
  </si>
  <si>
    <t>–96.245225°</t>
  </si>
  <si>
    <t>Perkins</t>
  </si>
  <si>
    <t>–101.636443°</t>
  </si>
  <si>
    <t>–99.406557°</t>
  </si>
  <si>
    <t>–97.610992°</t>
  </si>
  <si>
    <t>–97.513467°</t>
  </si>
  <si>
    <t>–97.570663°</t>
  </si>
  <si>
    <t>Red Willow</t>
  </si>
  <si>
    <t>–100.468576°</t>
  </si>
  <si>
    <t>Richardson</t>
  </si>
  <si>
    <t>–95.718603°</t>
  </si>
  <si>
    <t>–99.458530°</t>
  </si>
  <si>
    <t>–97.131755°</t>
  </si>
  <si>
    <t>Sarpy</t>
  </si>
  <si>
    <t>–96.109125°</t>
  </si>
  <si>
    <t>Saunders</t>
  </si>
  <si>
    <t>–96.640923°</t>
  </si>
  <si>
    <t>Scotts Bluff</t>
  </si>
  <si>
    <t>–103.705860°</t>
  </si>
  <si>
    <t>–97.140383°</t>
  </si>
  <si>
    <t>–102.389698°</t>
  </si>
  <si>
    <t>–98.972849°</t>
  </si>
  <si>
    <t>–103.742605°</t>
  </si>
  <si>
    <t>–97.174724°</t>
  </si>
  <si>
    <t>Thayer</t>
  </si>
  <si>
    <t>–97.596263°</t>
  </si>
  <si>
    <t>–100.506911°</t>
  </si>
  <si>
    <t>Thurston</t>
  </si>
  <si>
    <t>–96.533943°</t>
  </si>
  <si>
    <t>–98.983484°</t>
  </si>
  <si>
    <t>–96.224574°</t>
  </si>
  <si>
    <t>–97.126243°</t>
  </si>
  <si>
    <t>–98.498590°</t>
  </si>
  <si>
    <t>–98.522289°</t>
  </si>
  <si>
    <t>–97.596742°</t>
  </si>
  <si>
    <t>NV</t>
  </si>
  <si>
    <t>Churchill</t>
  </si>
  <si>
    <t>–118.270419°</t>
  </si>
  <si>
    <t>–115.013819°</t>
  </si>
  <si>
    <t>–119.609019°</t>
  </si>
  <si>
    <t>Elko</t>
  </si>
  <si>
    <t>–115.351424°</t>
  </si>
  <si>
    <t>Esmeralda</t>
  </si>
  <si>
    <t>–117.632382°</t>
  </si>
  <si>
    <t>Eureka</t>
  </si>
  <si>
    <t>–116.272208°</t>
  </si>
  <si>
    <t>–118.127592°</t>
  </si>
  <si>
    <t>Lander</t>
  </si>
  <si>
    <t>–117.047240°</t>
  </si>
  <si>
    <t>–114.863037°</t>
  </si>
  <si>
    <t>–119.197417°</t>
  </si>
  <si>
    <t>–118.416279°</t>
  </si>
  <si>
    <t>Nye</t>
  </si>
  <si>
    <t>–116.459047°</t>
  </si>
  <si>
    <t>Pershing</t>
  </si>
  <si>
    <t>–118.409477°</t>
  </si>
  <si>
    <t>Storey</t>
  </si>
  <si>
    <t>–119.524646°</t>
  </si>
  <si>
    <t>Washoe</t>
  </si>
  <si>
    <t>–119.710315°</t>
  </si>
  <si>
    <t>White Pine</t>
  </si>
  <si>
    <t>–114.900945°</t>
  </si>
  <si>
    <t>Carson City [9]</t>
  </si>
  <si>
    <t>–119.743442°</t>
  </si>
  <si>
    <t>NH</t>
  </si>
  <si>
    <t>Belknap</t>
  </si>
  <si>
    <t>–71.425366°</t>
  </si>
  <si>
    <t>–71.201665°</t>
  </si>
  <si>
    <t>Cheshire</t>
  </si>
  <si>
    <t>–72.248217°</t>
  </si>
  <si>
    <t>Coos</t>
  </si>
  <si>
    <t>–71.289383°</t>
  </si>
  <si>
    <t>Grafton</t>
  </si>
  <si>
    <t>–71.842264°</t>
  </si>
  <si>
    <t>–71.723101°</t>
  </si>
  <si>
    <t>Merrimack</t>
  </si>
  <si>
    <t>–71.680130°</t>
  </si>
  <si>
    <t>Rockingham</t>
  </si>
  <si>
    <t>–71.099437°</t>
  </si>
  <si>
    <t>Strafford</t>
  </si>
  <si>
    <t>–71.035927°</t>
  </si>
  <si>
    <t>–72.222084°</t>
  </si>
  <si>
    <t>NJ</t>
  </si>
  <si>
    <t>Atlantic</t>
  </si>
  <si>
    <t>–74.633758°</t>
  </si>
  <si>
    <t>Bergen</t>
  </si>
  <si>
    <t>–74.074522°</t>
  </si>
  <si>
    <t>Burlington</t>
  </si>
  <si>
    <t>–74.663006°</t>
  </si>
  <si>
    <t>–74.961251°</t>
  </si>
  <si>
    <t>Cape May</t>
  </si>
  <si>
    <t>–74.847716°</t>
  </si>
  <si>
    <t>–75.121644°</t>
  </si>
  <si>
    <t>–74.246136°</t>
  </si>
  <si>
    <t>Gloucester</t>
  </si>
  <si>
    <t>–75.143708°</t>
  </si>
  <si>
    <t>Hudson</t>
  </si>
  <si>
    <t>–74.078627°</t>
  </si>
  <si>
    <t>Hunterdon</t>
  </si>
  <si>
    <t>–74.911970°</t>
  </si>
  <si>
    <t>–74.703724°</t>
  </si>
  <si>
    <t>–74.407585°</t>
  </si>
  <si>
    <t>Monmouth</t>
  </si>
  <si>
    <t>–74.152446°</t>
  </si>
  <si>
    <t>–74.547427°</t>
  </si>
  <si>
    <t>Ocean</t>
  </si>
  <si>
    <t>–74.263027°</t>
  </si>
  <si>
    <t>Passaic</t>
  </si>
  <si>
    <t>–74.300308°</t>
  </si>
  <si>
    <t>Salem</t>
  </si>
  <si>
    <t>–75.357356°</t>
  </si>
  <si>
    <t>–74.619930°</t>
  </si>
  <si>
    <t>–74.691855°</t>
  </si>
  <si>
    <t>–74.308696°</t>
  </si>
  <si>
    <t>–75.009542°</t>
  </si>
  <si>
    <t>NM</t>
  </si>
  <si>
    <t>Bernalillo</t>
  </si>
  <si>
    <t>–106.669065°</t>
  </si>
  <si>
    <t>Catron</t>
  </si>
  <si>
    <t>–108.392097°</t>
  </si>
  <si>
    <t>Chaves</t>
  </si>
  <si>
    <t>–104.469837°</t>
  </si>
  <si>
    <t>Cibola</t>
  </si>
  <si>
    <t>–108.000255°</t>
  </si>
  <si>
    <t>–104.640126°</t>
  </si>
  <si>
    <t>Curry</t>
  </si>
  <si>
    <t>–103.346055°</t>
  </si>
  <si>
    <t>De Baca</t>
  </si>
  <si>
    <t>–104.401527°</t>
  </si>
  <si>
    <t>Dona Ana</t>
  </si>
  <si>
    <t>–106.832182°</t>
  </si>
  <si>
    <t>Eddy</t>
  </si>
  <si>
    <t>–104.306471°</t>
  </si>
  <si>
    <t>–108.381504°</t>
  </si>
  <si>
    <t>Guadalupe</t>
  </si>
  <si>
    <t>–104.784968°</t>
  </si>
  <si>
    <t>Harding</t>
  </si>
  <si>
    <t>–103.829931°</t>
  </si>
  <si>
    <t>Hidalgo</t>
  </si>
  <si>
    <t>–108.745729°</t>
  </si>
  <si>
    <t>Lea</t>
  </si>
  <si>
    <t>–103.413271°</t>
  </si>
  <si>
    <t>–105.449083°</t>
  </si>
  <si>
    <t>Los Alamos</t>
  </si>
  <si>
    <t>–106.307968°</t>
  </si>
  <si>
    <t>Luna</t>
  </si>
  <si>
    <t>–107.746639°</t>
  </si>
  <si>
    <t>McKinley</t>
  </si>
  <si>
    <t>–108.255307°</t>
  </si>
  <si>
    <t>Mora</t>
  </si>
  <si>
    <t>–104.921898°</t>
  </si>
  <si>
    <t>–105.781079°</t>
  </si>
  <si>
    <t>Quay</t>
  </si>
  <si>
    <t>–103.548071°</t>
  </si>
  <si>
    <t>Rio Arriba</t>
  </si>
  <si>
    <t>–106.693983°</t>
  </si>
  <si>
    <t>–103.482725°</t>
  </si>
  <si>
    <t>Sandoval</t>
  </si>
  <si>
    <t>–106.882618°</t>
  </si>
  <si>
    <t>–108.324578°</t>
  </si>
  <si>
    <t>–104.803515°</t>
  </si>
  <si>
    <t>Santa Fe</t>
  </si>
  <si>
    <t>–105.966441°</t>
  </si>
  <si>
    <t>–107.188161°</t>
  </si>
  <si>
    <t>Socorro</t>
  </si>
  <si>
    <t>–106.939003°</t>
  </si>
  <si>
    <t>Taos</t>
  </si>
  <si>
    <t>–105.637987°</t>
  </si>
  <si>
    <t>Torrance</t>
  </si>
  <si>
    <t>–105.846836°</t>
  </si>
  <si>
    <t>–103.475723°</t>
  </si>
  <si>
    <t>Valencia</t>
  </si>
  <si>
    <t>–106.806582°</t>
  </si>
  <si>
    <t>NY</t>
  </si>
  <si>
    <t>Albany</t>
  </si>
  <si>
    <t>–73.974014°</t>
  </si>
  <si>
    <t>–78.026176°</t>
  </si>
  <si>
    <t>Bronx [10]</t>
  </si>
  <si>
    <t>–73.852939°</t>
  </si>
  <si>
    <t>Broome</t>
  </si>
  <si>
    <t>–75.830291°</t>
  </si>
  <si>
    <t>Cattaraugus</t>
  </si>
  <si>
    <t>–78.681006°</t>
  </si>
  <si>
    <t>Cayuga</t>
  </si>
  <si>
    <t>–76.574587°</t>
  </si>
  <si>
    <t>–79.407595°</t>
  </si>
  <si>
    <t>Chemung</t>
  </si>
  <si>
    <t>–76.747179°</t>
  </si>
  <si>
    <t>Chenango</t>
  </si>
  <si>
    <t>–75.604905°</t>
  </si>
  <si>
    <t>–73.705648°</t>
  </si>
  <si>
    <t>–73.626805°</t>
  </si>
  <si>
    <t>Cortland</t>
  </si>
  <si>
    <t>–76.076265°</t>
  </si>
  <si>
    <t>–74.966728°</t>
  </si>
  <si>
    <t>Dutchess</t>
  </si>
  <si>
    <t>–73.739951°</t>
  </si>
  <si>
    <t>Erie</t>
  </si>
  <si>
    <t>–78.778192°</t>
  </si>
  <si>
    <t>–73.777573°</t>
  </si>
  <si>
    <t>–74.310670°</t>
  </si>
  <si>
    <t>–74.423678°</t>
  </si>
  <si>
    <t>–78.192778°</t>
  </si>
  <si>
    <t>–74.149495°</t>
  </si>
  <si>
    <t>–74.502456°</t>
  </si>
  <si>
    <t>Herkimer</t>
  </si>
  <si>
    <t>–74.894694°</t>
  </si>
  <si>
    <t>–76.053522°</t>
  </si>
  <si>
    <t>Kings [10]</t>
  </si>
  <si>
    <t>–73.950777°</t>
  </si>
  <si>
    <t>–75.442617°</t>
  </si>
  <si>
    <t>–77.769780°</t>
  </si>
  <si>
    <t>–75.663575°</t>
  </si>
  <si>
    <t>–77.664656°</t>
  </si>
  <si>
    <t>–74.435358°</t>
  </si>
  <si>
    <t>–73.589384°</t>
  </si>
  <si>
    <t>New York [10]</t>
  </si>
  <si>
    <t>–73.970174°</t>
  </si>
  <si>
    <t>Niagara</t>
  </si>
  <si>
    <t>–78.792143°</t>
  </si>
  <si>
    <t>–75.434282°</t>
  </si>
  <si>
    <t>Onondaga</t>
  </si>
  <si>
    <t>–76.196117°</t>
  </si>
  <si>
    <t>Ontario</t>
  </si>
  <si>
    <t>–77.303277°</t>
  </si>
  <si>
    <t>–74.306252°</t>
  </si>
  <si>
    <t>–78.229726°</t>
  </si>
  <si>
    <t>Oswego</t>
  </si>
  <si>
    <t>–76.209258°</t>
  </si>
  <si>
    <t>–75.028841°</t>
  </si>
  <si>
    <t>–73.743882°</t>
  </si>
  <si>
    <t>Queens [10]</t>
  </si>
  <si>
    <t>–73.837929°</t>
  </si>
  <si>
    <t>Rensselaer</t>
  </si>
  <si>
    <t>–73.513845°</t>
  </si>
  <si>
    <t>Richmond [10]</t>
  </si>
  <si>
    <t>–74.137063°</t>
  </si>
  <si>
    <t>Rockland</t>
  </si>
  <si>
    <t>–74.024772°</t>
  </si>
  <si>
    <t>St. Lawrence</t>
  </si>
  <si>
    <t>–75.074311°</t>
  </si>
  <si>
    <t>Saratoga</t>
  </si>
  <si>
    <t>–73.855387°</t>
  </si>
  <si>
    <t>Schenectady</t>
  </si>
  <si>
    <t>–74.043583°</t>
  </si>
  <si>
    <t>Schoharie</t>
  </si>
  <si>
    <t>–74.438172°</t>
  </si>
  <si>
    <t>–76.938604°</t>
  </si>
  <si>
    <t>Seneca</t>
  </si>
  <si>
    <t>–76.827088°</t>
  </si>
  <si>
    <t>–77.385525°</t>
  </si>
  <si>
    <t>–72.692218°</t>
  </si>
  <si>
    <t>–74.764680°</t>
  </si>
  <si>
    <t>Tioga</t>
  </si>
  <si>
    <t>–76.297450°</t>
  </si>
  <si>
    <t>Tompkins</t>
  </si>
  <si>
    <t>–76.473712°</t>
  </si>
  <si>
    <t>Ulster</t>
  </si>
  <si>
    <t>–74.265447°</t>
  </si>
  <si>
    <t>–73.838139°</t>
  </si>
  <si>
    <t>–73.439428°</t>
  </si>
  <si>
    <t>–77.063164°</t>
  </si>
  <si>
    <t>Westchester</t>
  </si>
  <si>
    <t>–73.745912°</t>
  </si>
  <si>
    <t>Wyoming</t>
  </si>
  <si>
    <t>–78.228567°</t>
  </si>
  <si>
    <t>Yates</t>
  </si>
  <si>
    <t>–77.104324°</t>
  </si>
  <si>
    <t>NC</t>
  </si>
  <si>
    <t>Alamance</t>
  </si>
  <si>
    <t>–79.399935°</t>
  </si>
  <si>
    <t>–81.177467°</t>
  </si>
  <si>
    <t>Alleghany</t>
  </si>
  <si>
    <t>–81.132299°</t>
  </si>
  <si>
    <t>Anson</t>
  </si>
  <si>
    <t>–80.109959°</t>
  </si>
  <si>
    <t>Ashe</t>
  </si>
  <si>
    <t>–81.498770°</t>
  </si>
  <si>
    <t>Avery</t>
  </si>
  <si>
    <t>–81.920363°</t>
  </si>
  <si>
    <t>Beaufort</t>
  </si>
  <si>
    <t>–76.842014°</t>
  </si>
  <si>
    <t>Bertie</t>
  </si>
  <si>
    <t>–76.962367°</t>
  </si>
  <si>
    <t>Bladen</t>
  </si>
  <si>
    <t>–78.539513°</t>
  </si>
  <si>
    <t>Brunswick</t>
  </si>
  <si>
    <t>–78.227688°</t>
  </si>
  <si>
    <t>Buncombe</t>
  </si>
  <si>
    <t>–82.530426°</t>
  </si>
  <si>
    <t>–81.706180°</t>
  </si>
  <si>
    <t>Cabarrus</t>
  </si>
  <si>
    <t>–80.552868°</t>
  </si>
  <si>
    <t>–81.530076°</t>
  </si>
  <si>
    <t>–76.162488°</t>
  </si>
  <si>
    <t>Carteret</t>
  </si>
  <si>
    <t>–76.526967°</t>
  </si>
  <si>
    <t>Caswell</t>
  </si>
  <si>
    <t>–79.332546°</t>
  </si>
  <si>
    <t>Catawba</t>
  </si>
  <si>
    <t>–81.214151°</t>
  </si>
  <si>
    <t>–79.251454°</t>
  </si>
  <si>
    <t>–84.061308°</t>
  </si>
  <si>
    <t>Chowan</t>
  </si>
  <si>
    <t>–76.602070°</t>
  </si>
  <si>
    <t>–83.752264°</t>
  </si>
  <si>
    <t>–81.557115°</t>
  </si>
  <si>
    <t>Columbus</t>
  </si>
  <si>
    <t>–78.636378°</t>
  </si>
  <si>
    <t>Craven</t>
  </si>
  <si>
    <t>–77.082541°</t>
  </si>
  <si>
    <t>–78.828719°</t>
  </si>
  <si>
    <t>Currituck</t>
  </si>
  <si>
    <t>–75.941224°</t>
  </si>
  <si>
    <t>Dare</t>
  </si>
  <si>
    <t>–75.767536°</t>
  </si>
  <si>
    <t>Davidson</t>
  </si>
  <si>
    <t>–80.206525°</t>
  </si>
  <si>
    <t>Davie</t>
  </si>
  <si>
    <t>–80.542542°</t>
  </si>
  <si>
    <t>Duplin</t>
  </si>
  <si>
    <t>–77.933543°</t>
  </si>
  <si>
    <t>Durham</t>
  </si>
  <si>
    <t>–78.877919°</t>
  </si>
  <si>
    <t>Edgecombe</t>
  </si>
  <si>
    <t>–77.602655°</t>
  </si>
  <si>
    <t>–80.257289°</t>
  </si>
  <si>
    <t>–78.283090°</t>
  </si>
  <si>
    <t>Gaston</t>
  </si>
  <si>
    <t>–81.177256°</t>
  </si>
  <si>
    <t>Gates</t>
  </si>
  <si>
    <t>–76.702355°</t>
  </si>
  <si>
    <t>–83.830909°</t>
  </si>
  <si>
    <t>Granville</t>
  </si>
  <si>
    <t>–78.657634°</t>
  </si>
  <si>
    <t>–77.681667°</t>
  </si>
  <si>
    <t>Guilford</t>
  </si>
  <si>
    <t>–79.788665°</t>
  </si>
  <si>
    <t>Halifax</t>
  </si>
  <si>
    <t>–77.644842°</t>
  </si>
  <si>
    <t>Harnett</t>
  </si>
  <si>
    <t>–78.871610°</t>
  </si>
  <si>
    <t>Haywood</t>
  </si>
  <si>
    <t>–82.972807°</t>
  </si>
  <si>
    <t>–82.479634°</t>
  </si>
  <si>
    <t>Hertford</t>
  </si>
  <si>
    <t>–76.981616°</t>
  </si>
  <si>
    <t>Hoke</t>
  </si>
  <si>
    <t>–79.241964°</t>
  </si>
  <si>
    <t>Hyde</t>
  </si>
  <si>
    <t>–76.153687°</t>
  </si>
  <si>
    <t>Iredell</t>
  </si>
  <si>
    <t>–80.874545°</t>
  </si>
  <si>
    <t>–83.130641°</t>
  </si>
  <si>
    <t>Johnston</t>
  </si>
  <si>
    <t>–78.367267°</t>
  </si>
  <si>
    <t>–77.356443°</t>
  </si>
  <si>
    <t>–79.172220°</t>
  </si>
  <si>
    <t>Lenoir</t>
  </si>
  <si>
    <t>–77.639023°</t>
  </si>
  <si>
    <t>–81.225176°</t>
  </si>
  <si>
    <t>McDowell</t>
  </si>
  <si>
    <t>–82.048029°</t>
  </si>
  <si>
    <t>–83.421901°</t>
  </si>
  <si>
    <t>–82.712731°</t>
  </si>
  <si>
    <t>–77.112867°</t>
  </si>
  <si>
    <t>Mecklenburg</t>
  </si>
  <si>
    <t>–80.833832°</t>
  </si>
  <si>
    <t>–82.163554°</t>
  </si>
  <si>
    <t>–79.904196°</t>
  </si>
  <si>
    <t>Moore</t>
  </si>
  <si>
    <t>–79.480664°</t>
  </si>
  <si>
    <t>Nash</t>
  </si>
  <si>
    <t>–77.987555°</t>
  </si>
  <si>
    <t>New Hanover</t>
  </si>
  <si>
    <t>–77.871378°</t>
  </si>
  <si>
    <t>Northampton</t>
  </si>
  <si>
    <t>–77.398352°</t>
  </si>
  <si>
    <t>Onslow</t>
  </si>
  <si>
    <t>–77.503297°</t>
  </si>
  <si>
    <t>–79.119355°</t>
  </si>
  <si>
    <t>Pamlico</t>
  </si>
  <si>
    <t>–76.665069°</t>
  </si>
  <si>
    <t>Pasquotank</t>
  </si>
  <si>
    <t>–76.260355°</t>
  </si>
  <si>
    <t>Pender</t>
  </si>
  <si>
    <t>–77.888029°</t>
  </si>
  <si>
    <t>Perquimans</t>
  </si>
  <si>
    <t>–76.404269°</t>
  </si>
  <si>
    <t>Person</t>
  </si>
  <si>
    <t>–78.965471°</t>
  </si>
  <si>
    <t>Pitt</t>
  </si>
  <si>
    <t>–77.372404°</t>
  </si>
  <si>
    <t>–82.167667°</t>
  </si>
  <si>
    <t>–79.806215°</t>
  </si>
  <si>
    <t>–79.747809°</t>
  </si>
  <si>
    <t>Robeson</t>
  </si>
  <si>
    <t>–79.100881°</t>
  </si>
  <si>
    <t>–79.782889°</t>
  </si>
  <si>
    <t>–80.525344°</t>
  </si>
  <si>
    <t>Rutherford</t>
  </si>
  <si>
    <t>–81.919583°</t>
  </si>
  <si>
    <t>Sampson</t>
  </si>
  <si>
    <t>–78.371382°</t>
  </si>
  <si>
    <t>–79.477337°</t>
  </si>
  <si>
    <t>Stanly</t>
  </si>
  <si>
    <t>–80.254355°</t>
  </si>
  <si>
    <t>Stokes</t>
  </si>
  <si>
    <t>–80.239271°</t>
  </si>
  <si>
    <t>Surry</t>
  </si>
  <si>
    <t>–80.686463°</t>
  </si>
  <si>
    <t>Swain</t>
  </si>
  <si>
    <t>–83.465614°</t>
  </si>
  <si>
    <t>Transylvania</t>
  </si>
  <si>
    <t>–82.816696°</t>
  </si>
  <si>
    <t>Tyrrell</t>
  </si>
  <si>
    <t>–76.165345°</t>
  </si>
  <si>
    <t>–80.530131°</t>
  </si>
  <si>
    <t>Vance</t>
  </si>
  <si>
    <t>–78.405434°</t>
  </si>
  <si>
    <t>Wake</t>
  </si>
  <si>
    <t>–78.650624°</t>
  </si>
  <si>
    <t>–78.099924°</t>
  </si>
  <si>
    <t>–76.572334°</t>
  </si>
  <si>
    <t>Watauga</t>
  </si>
  <si>
    <t>–81.709919°</t>
  </si>
  <si>
    <t>–78.004826°</t>
  </si>
  <si>
    <t>–81.165354°</t>
  </si>
  <si>
    <t>–77.918982°</t>
  </si>
  <si>
    <t>Yadkin</t>
  </si>
  <si>
    <t>–80.665164°</t>
  </si>
  <si>
    <t>Yancey</t>
  </si>
  <si>
    <t>–82.303980°</t>
  </si>
  <si>
    <t>ND</t>
  </si>
  <si>
    <t>–102.533198°</t>
  </si>
  <si>
    <t>Barnes</t>
  </si>
  <si>
    <t>–98.070195°</t>
  </si>
  <si>
    <t>Benson</t>
  </si>
  <si>
    <t>–99.361987°</t>
  </si>
  <si>
    <t>Billings</t>
  </si>
  <si>
    <t>–103.364924°</t>
  </si>
  <si>
    <t>Bottineau</t>
  </si>
  <si>
    <t>–100.831257°</t>
  </si>
  <si>
    <t>Bowman</t>
  </si>
  <si>
    <t>–103.506586°</t>
  </si>
  <si>
    <t>–102.520087°</t>
  </si>
  <si>
    <t>Burleigh</t>
  </si>
  <si>
    <t>–100.462001°</t>
  </si>
  <si>
    <t>–97.252375°</t>
  </si>
  <si>
    <t>Cavalier</t>
  </si>
  <si>
    <t>–98.463790°</t>
  </si>
  <si>
    <t>Dickey</t>
  </si>
  <si>
    <t>–98.496518°</t>
  </si>
  <si>
    <t>Divide</t>
  </si>
  <si>
    <t>–103.497653°</t>
  </si>
  <si>
    <t>Dunn</t>
  </si>
  <si>
    <t>–102.612365°</t>
  </si>
  <si>
    <t>–98.900475°</t>
  </si>
  <si>
    <t>Emmons</t>
  </si>
  <si>
    <t>–100.237842°</t>
  </si>
  <si>
    <t>Foster</t>
  </si>
  <si>
    <t>–98.872817°</t>
  </si>
  <si>
    <t>–103.844612°</t>
  </si>
  <si>
    <t>Grand Forks</t>
  </si>
  <si>
    <t>–97.450851°</t>
  </si>
  <si>
    <t>–101.639049°</t>
  </si>
  <si>
    <t>Griggs</t>
  </si>
  <si>
    <t>–98.232444°</t>
  </si>
  <si>
    <t>Hettinger</t>
  </si>
  <si>
    <t>–102.458385°</t>
  </si>
  <si>
    <t>Kidder</t>
  </si>
  <si>
    <t>–99.742727°</t>
  </si>
  <si>
    <t>LaMoure</t>
  </si>
  <si>
    <t>–98.526057°</t>
  </si>
  <si>
    <t>–99.504585°</t>
  </si>
  <si>
    <t>–100.633267°</t>
  </si>
  <si>
    <t>–99.443041°</t>
  </si>
  <si>
    <t>McKenzie</t>
  </si>
  <si>
    <t>–103.403215°</t>
  </si>
  <si>
    <t>–101.421794°</t>
  </si>
  <si>
    <t>–101.820765°</t>
  </si>
  <si>
    <t>–101.279743°</t>
  </si>
  <si>
    <t>Mountrail</t>
  </si>
  <si>
    <t>–102.364756°</t>
  </si>
  <si>
    <t>–98.204428°</t>
  </si>
  <si>
    <t>Oliver</t>
  </si>
  <si>
    <t>–101.331420°</t>
  </si>
  <si>
    <t>Pembina</t>
  </si>
  <si>
    <t>–97.545405°</t>
  </si>
  <si>
    <t>–99.966497°</t>
  </si>
  <si>
    <t>–98.737329°</t>
  </si>
  <si>
    <t>Ransom</t>
  </si>
  <si>
    <t>–97.647554°</t>
  </si>
  <si>
    <t>–101.658152°</t>
  </si>
  <si>
    <t>–96.937960°</t>
  </si>
  <si>
    <t>Rolette</t>
  </si>
  <si>
    <t>–99.840463°</t>
  </si>
  <si>
    <t>Sargent</t>
  </si>
  <si>
    <t>–97.630030°</t>
  </si>
  <si>
    <t>–100.341499°</t>
  </si>
  <si>
    <t>–101.047525°</t>
  </si>
  <si>
    <t>Slope</t>
  </si>
  <si>
    <t>–103.462462°</t>
  </si>
  <si>
    <t>–102.662026°</t>
  </si>
  <si>
    <t>–97.718895°</t>
  </si>
  <si>
    <t>Stutsman</t>
  </si>
  <si>
    <t>–98.957592°</t>
  </si>
  <si>
    <t>Towner</t>
  </si>
  <si>
    <t>–99.248158°</t>
  </si>
  <si>
    <t>Traill</t>
  </si>
  <si>
    <t>–97.164754°</t>
  </si>
  <si>
    <t>Walsh</t>
  </si>
  <si>
    <t>–97.722230°</t>
  </si>
  <si>
    <t>Ward</t>
  </si>
  <si>
    <t>–101.540537°</t>
  </si>
  <si>
    <t>–99.671502°</t>
  </si>
  <si>
    <t>Williams</t>
  </si>
  <si>
    <t>–103.487400°</t>
  </si>
  <si>
    <t>OH</t>
  </si>
  <si>
    <t>–83.474173°</t>
  </si>
  <si>
    <t>–84.106546°</t>
  </si>
  <si>
    <t>Ashland</t>
  </si>
  <si>
    <t>–82.270121°</t>
  </si>
  <si>
    <t>Ashtabula</t>
  </si>
  <si>
    <t>–80.745641°</t>
  </si>
  <si>
    <t>Athens</t>
  </si>
  <si>
    <t>–82.046008°</t>
  </si>
  <si>
    <t>Auglaize</t>
  </si>
  <si>
    <t>–84.224018°</t>
  </si>
  <si>
    <t>Belmont</t>
  </si>
  <si>
    <t>–80.967727°</t>
  </si>
  <si>
    <t>–83.866772°</t>
  </si>
  <si>
    <t>–84.565397°</t>
  </si>
  <si>
    <t>–81.090787°</t>
  </si>
  <si>
    <t>–83.767543°</t>
  </si>
  <si>
    <t>–83.783676°</t>
  </si>
  <si>
    <t>Clermont</t>
  </si>
  <si>
    <t>–84.149614°</t>
  </si>
  <si>
    <t>–83.814542°</t>
  </si>
  <si>
    <t>Columbiana</t>
  </si>
  <si>
    <t>–80.777231°</t>
  </si>
  <si>
    <t>Coshocton</t>
  </si>
  <si>
    <t>–81.930112°</t>
  </si>
  <si>
    <t>–82.924771°</t>
  </si>
  <si>
    <t>Cuyahoga</t>
  </si>
  <si>
    <t>–81.724217°</t>
  </si>
  <si>
    <t>Darke</t>
  </si>
  <si>
    <t>–84.620438°</t>
  </si>
  <si>
    <t>Defiance</t>
  </si>
  <si>
    <t>–84.486433°</t>
  </si>
  <si>
    <t>–83.007462°</t>
  </si>
  <si>
    <t>–82.525897°</t>
  </si>
  <si>
    <t>Fairfield</t>
  </si>
  <si>
    <t>–82.628276°</t>
  </si>
  <si>
    <t>–83.459327°</t>
  </si>
  <si>
    <t>–83.008258°</t>
  </si>
  <si>
    <t>–84.124267°</t>
  </si>
  <si>
    <t>Gallia</t>
  </si>
  <si>
    <t>–82.301746°</t>
  </si>
  <si>
    <t>Geauga</t>
  </si>
  <si>
    <t>–81.173505°</t>
  </si>
  <si>
    <t>–83.894894°</t>
  </si>
  <si>
    <t>Guernsey</t>
  </si>
  <si>
    <t>–81.497875°</t>
  </si>
  <si>
    <t>–84.544187°</t>
  </si>
  <si>
    <t>–83.666034°</t>
  </si>
  <si>
    <t>–83.664077°</t>
  </si>
  <si>
    <t>–81.091565°</t>
  </si>
  <si>
    <t>–84.065882°</t>
  </si>
  <si>
    <t>Highland</t>
  </si>
  <si>
    <t>–83.603668°</t>
  </si>
  <si>
    <t>Hocking</t>
  </si>
  <si>
    <t>–82.483445°</t>
  </si>
  <si>
    <t>–81.929869°</t>
  </si>
  <si>
    <t>–82.594641°</t>
  </si>
  <si>
    <t>–82.614142°</t>
  </si>
  <si>
    <t>–80.761410°</t>
  </si>
  <si>
    <t>–82.422393°</t>
  </si>
  <si>
    <t>–81.392643°</t>
  </si>
  <si>
    <t>–82.517186°</t>
  </si>
  <si>
    <t>Licking</t>
  </si>
  <si>
    <t>–82.481251°</t>
  </si>
  <si>
    <t>–83.766343°</t>
  </si>
  <si>
    <t>Lorain</t>
  </si>
  <si>
    <t>–82.179722°</t>
  </si>
  <si>
    <t>–83.468867°</t>
  </si>
  <si>
    <t>–83.400885°</t>
  </si>
  <si>
    <t>Mahoning</t>
  </si>
  <si>
    <t>–80.770396°</t>
  </si>
  <si>
    <t>–83.172927°</t>
  </si>
  <si>
    <t>Medina</t>
  </si>
  <si>
    <t>–81.899566°</t>
  </si>
  <si>
    <t>Meigs</t>
  </si>
  <si>
    <t>–82.028397°</t>
  </si>
  <si>
    <t>–84.632059°</t>
  </si>
  <si>
    <t>–84.228414°</t>
  </si>
  <si>
    <t>–81.090658°</t>
  </si>
  <si>
    <t>–84.290546°</t>
  </si>
  <si>
    <t>–81.861699°</t>
  </si>
  <si>
    <t>Morrow</t>
  </si>
  <si>
    <t>–82.797729°</t>
  </si>
  <si>
    <t>Muskingum</t>
  </si>
  <si>
    <t>–81.943506°</t>
  </si>
  <si>
    <t>–81.452604°</t>
  </si>
  <si>
    <t>–83.009253°</t>
  </si>
  <si>
    <t>–84.576967°</t>
  </si>
  <si>
    <t>–82.237953°</t>
  </si>
  <si>
    <t>Pickaway</t>
  </si>
  <si>
    <t>–83.052827°</t>
  </si>
  <si>
    <t>–83.052921°</t>
  </si>
  <si>
    <t>Portage</t>
  </si>
  <si>
    <t>–81.196932°</t>
  </si>
  <si>
    <t>Preble</t>
  </si>
  <si>
    <t>–84.645358°</t>
  </si>
  <si>
    <t>–84.129879°</t>
  </si>
  <si>
    <t>–82.542715°</t>
  </si>
  <si>
    <t>Ross</t>
  </si>
  <si>
    <t>–83.059585°</t>
  </si>
  <si>
    <t>Sandusky</t>
  </si>
  <si>
    <t>–83.142735°</t>
  </si>
  <si>
    <t>Scioto</t>
  </si>
  <si>
    <t>–82.999028°</t>
  </si>
  <si>
    <t>–83.127436°</t>
  </si>
  <si>
    <t>–84.204143°</t>
  </si>
  <si>
    <t>–81.365667°</t>
  </si>
  <si>
    <t>–81.534936°</t>
  </si>
  <si>
    <t>Trumbull</t>
  </si>
  <si>
    <t>–80.767656°</t>
  </si>
  <si>
    <t>Tuscarawas</t>
  </si>
  <si>
    <t>–81.471157°</t>
  </si>
  <si>
    <t>–83.367042°</t>
  </si>
  <si>
    <t>Van Wert</t>
  </si>
  <si>
    <t>–84.585775°</t>
  </si>
  <si>
    <t>Vinton</t>
  </si>
  <si>
    <t>–82.485961°</t>
  </si>
  <si>
    <t>–84.169906°</t>
  </si>
  <si>
    <t>–81.490653°</t>
  </si>
  <si>
    <t>–81.887194°</t>
  </si>
  <si>
    <t>–84.584323°</t>
  </si>
  <si>
    <t>Wood</t>
  </si>
  <si>
    <t>–83.622682°</t>
  </si>
  <si>
    <t>Wyandot</t>
  </si>
  <si>
    <t>–83.313172°</t>
  </si>
  <si>
    <t>OK</t>
  </si>
  <si>
    <t>–94.651671°</t>
  </si>
  <si>
    <t>Alfalfa</t>
  </si>
  <si>
    <t>–98.323445°</t>
  </si>
  <si>
    <t>Atoka</t>
  </si>
  <si>
    <t>–96.034705°</t>
  </si>
  <si>
    <t>Beaver</t>
  </si>
  <si>
    <t>–100.483056°</t>
  </si>
  <si>
    <t>Beckham</t>
  </si>
  <si>
    <t>–99.671638°</t>
  </si>
  <si>
    <t>–98.428934°</t>
  </si>
  <si>
    <t>–96.264137°</t>
  </si>
  <si>
    <t>–98.381045°</t>
  </si>
  <si>
    <t>Canadian</t>
  </si>
  <si>
    <t>–97.979836°</t>
  </si>
  <si>
    <t>–97.287927°</t>
  </si>
  <si>
    <t>–94.996796°</t>
  </si>
  <si>
    <t>–95.554208°</t>
  </si>
  <si>
    <t>Cimarron</t>
  </si>
  <si>
    <t>–102.508735°</t>
  </si>
  <si>
    <t>–97.328332°</t>
  </si>
  <si>
    <t>Coal</t>
  </si>
  <si>
    <t>–96.288039°</t>
  </si>
  <si>
    <t>–98.476597°</t>
  </si>
  <si>
    <t>Cotton</t>
  </si>
  <si>
    <t>–98.373438°</t>
  </si>
  <si>
    <t>Craig</t>
  </si>
  <si>
    <t>–95.201553°</t>
  </si>
  <si>
    <t>Creek</t>
  </si>
  <si>
    <t>–96.379793°</t>
  </si>
  <si>
    <t>–98.997386°</t>
  </si>
  <si>
    <t>–94.808206°</t>
  </si>
  <si>
    <t>Dewey</t>
  </si>
  <si>
    <t>–99.014094°</t>
  </si>
  <si>
    <t>–99.750139°</t>
  </si>
  <si>
    <t>–97.787729°</t>
  </si>
  <si>
    <t>Garvin</t>
  </si>
  <si>
    <t>–97.312723°</t>
  </si>
  <si>
    <t>–97.886890°</t>
  </si>
  <si>
    <t>–97.788151°</t>
  </si>
  <si>
    <t>Greer</t>
  </si>
  <si>
    <t>–99.552968°</t>
  </si>
  <si>
    <t>Harmon</t>
  </si>
  <si>
    <t>–99.844194°</t>
  </si>
  <si>
    <t>–99.662842°</t>
  </si>
  <si>
    <t>–95.109578°</t>
  </si>
  <si>
    <t>Hughes</t>
  </si>
  <si>
    <t>–96.251183°</t>
  </si>
  <si>
    <t>–99.412210°</t>
  </si>
  <si>
    <t>–97.838814°</t>
  </si>
  <si>
    <t>–96.654255°</t>
  </si>
  <si>
    <t>Kay</t>
  </si>
  <si>
    <t>–97.143755°</t>
  </si>
  <si>
    <t>Kingfisher</t>
  </si>
  <si>
    <t>–97.934568°</t>
  </si>
  <si>
    <t>–98.981617°</t>
  </si>
  <si>
    <t>Latimer</t>
  </si>
  <si>
    <t>–95.272263°</t>
  </si>
  <si>
    <t>Le Flore</t>
  </si>
  <si>
    <t>–94.703491°</t>
  </si>
  <si>
    <t>–96.881392°</t>
  </si>
  <si>
    <t>–97.450764°</t>
  </si>
  <si>
    <t>Love</t>
  </si>
  <si>
    <t>–97.245124°</t>
  </si>
  <si>
    <t>McClain</t>
  </si>
  <si>
    <t>–97.449811°</t>
  </si>
  <si>
    <t>McCurtain</t>
  </si>
  <si>
    <t>–94.766086°</t>
  </si>
  <si>
    <t>–95.671764°</t>
  </si>
  <si>
    <t>Major</t>
  </si>
  <si>
    <t>–98.542015°</t>
  </si>
  <si>
    <t>–96.770533°</t>
  </si>
  <si>
    <t>Mayes</t>
  </si>
  <si>
    <t>–95.235638°</t>
  </si>
  <si>
    <t>–97.071557°</t>
  </si>
  <si>
    <t>Muskogee</t>
  </si>
  <si>
    <t>–95.383911°</t>
  </si>
  <si>
    <t>–97.236335°</t>
  </si>
  <si>
    <t>Nowata</t>
  </si>
  <si>
    <t>–95.613312°</t>
  </si>
  <si>
    <t>Okfuskee</t>
  </si>
  <si>
    <t>–96.327762°</t>
  </si>
  <si>
    <t>Oklahoma</t>
  </si>
  <si>
    <t>–97.409401°</t>
  </si>
  <si>
    <t>Okmulgee</t>
  </si>
  <si>
    <t>–95.964580°</t>
  </si>
  <si>
    <t>–96.408385°</t>
  </si>
  <si>
    <t>–94.802681°</t>
  </si>
  <si>
    <t>–96.696669°</t>
  </si>
  <si>
    <t>Payne</t>
  </si>
  <si>
    <t>–96.975255°</t>
  </si>
  <si>
    <t>Pittsburg</t>
  </si>
  <si>
    <t>–95.748130°</t>
  </si>
  <si>
    <t>–96.692738°</t>
  </si>
  <si>
    <t>–96.957007°</t>
  </si>
  <si>
    <t>Pushmataha</t>
  </si>
  <si>
    <t>–95.408085°</t>
  </si>
  <si>
    <t>Roger Mills</t>
  </si>
  <si>
    <t>–99.741572°</t>
  </si>
  <si>
    <t>Rogers</t>
  </si>
  <si>
    <t>–95.601337°</t>
  </si>
  <si>
    <t>–96.602858°</t>
  </si>
  <si>
    <t>Sequoyah</t>
  </si>
  <si>
    <t>–94.750757°</t>
  </si>
  <si>
    <t>–97.855607°</t>
  </si>
  <si>
    <t>–101.488434°</t>
  </si>
  <si>
    <t>Tillman</t>
  </si>
  <si>
    <t>–98.931701°</t>
  </si>
  <si>
    <t>Tulsa</t>
  </si>
  <si>
    <t>–95.941731°</t>
  </si>
  <si>
    <t>Wagoner</t>
  </si>
  <si>
    <t>–95.514100°</t>
  </si>
  <si>
    <t>–95.906155°</t>
  </si>
  <si>
    <t>Washita</t>
  </si>
  <si>
    <t>–98.991962°</t>
  </si>
  <si>
    <t>Woods</t>
  </si>
  <si>
    <t>–98.868967°</t>
  </si>
  <si>
    <t>Woodward</t>
  </si>
  <si>
    <t>–99.273661°</t>
  </si>
  <si>
    <t>OR</t>
  </si>
  <si>
    <t>–117.691933°</t>
  </si>
  <si>
    <t>–123.426317°</t>
  </si>
  <si>
    <t>Clackamas</t>
  </si>
  <si>
    <t>–122.195127°</t>
  </si>
  <si>
    <t>Clatsop</t>
  </si>
  <si>
    <t>–123.705014°</t>
  </si>
  <si>
    <t>–123.081079°</t>
  </si>
  <si>
    <t>–124.092557°</t>
  </si>
  <si>
    <t>Crook</t>
  </si>
  <si>
    <t>–120.371585°</t>
  </si>
  <si>
    <t>–124.211407°</t>
  </si>
  <si>
    <t>Deschutes</t>
  </si>
  <si>
    <t>–121.225575°</t>
  </si>
  <si>
    <t>–123.154380°</t>
  </si>
  <si>
    <t>Gilliam</t>
  </si>
  <si>
    <t>–120.211851°</t>
  </si>
  <si>
    <t>–119.014057°</t>
  </si>
  <si>
    <t>Harney</t>
  </si>
  <si>
    <t>–118.985949°</t>
  </si>
  <si>
    <t>Hood River</t>
  </si>
  <si>
    <t>–121.655976°</t>
  </si>
  <si>
    <t>–122.675797°</t>
  </si>
  <si>
    <t>–121.183021°</t>
  </si>
  <si>
    <t>Josephine</t>
  </si>
  <si>
    <t>–123.597245°</t>
  </si>
  <si>
    <t>Klamath</t>
  </si>
  <si>
    <t>–121.646168°</t>
  </si>
  <si>
    <t>–120.389790°</t>
  </si>
  <si>
    <t>–122.897678°</t>
  </si>
  <si>
    <t>–123.911183°</t>
  </si>
  <si>
    <t>–122.543756°</t>
  </si>
  <si>
    <t>Malheur</t>
  </si>
  <si>
    <t>–117.603976°</t>
  </si>
  <si>
    <t>–122.576260°</t>
  </si>
  <si>
    <t>–119.602311°</t>
  </si>
  <si>
    <t>Multnomah</t>
  </si>
  <si>
    <t>–122.417173°</t>
  </si>
  <si>
    <t>–123.397329°</t>
  </si>
  <si>
    <t>–120.678512°</t>
  </si>
  <si>
    <t>Tillamook</t>
  </si>
  <si>
    <t>–123.759327°</t>
  </si>
  <si>
    <t>Umatilla</t>
  </si>
  <si>
    <t>–118.733880°</t>
  </si>
  <si>
    <t>–117.999136°</t>
  </si>
  <si>
    <t>Wallowa</t>
  </si>
  <si>
    <t>–117.185580°</t>
  </si>
  <si>
    <t>Wasco</t>
  </si>
  <si>
    <t>–121.165069°</t>
  </si>
  <si>
    <t>–123.097615°</t>
  </si>
  <si>
    <t>–120.026875°</t>
  </si>
  <si>
    <t>Yamhill</t>
  </si>
  <si>
    <t>–123.316117°</t>
  </si>
  <si>
    <t>PA</t>
  </si>
  <si>
    <t>–77.217730°</t>
  </si>
  <si>
    <t>Allegheny</t>
  </si>
  <si>
    <t>–79.980920°</t>
  </si>
  <si>
    <t>Armstrong</t>
  </si>
  <si>
    <t>–79.464128°</t>
  </si>
  <si>
    <t>–80.350721°</t>
  </si>
  <si>
    <t>Bedford</t>
  </si>
  <si>
    <t>–78.489980°</t>
  </si>
  <si>
    <t>Berks</t>
  </si>
  <si>
    <t>–75.926860°</t>
  </si>
  <si>
    <t>Blair</t>
  </si>
  <si>
    <t>–78.310640°</t>
  </si>
  <si>
    <t>–76.502124°</t>
  </si>
  <si>
    <t>Bucks</t>
  </si>
  <si>
    <t>–75.107060°</t>
  </si>
  <si>
    <t>–79.918960°</t>
  </si>
  <si>
    <t>Cambria</t>
  </si>
  <si>
    <t>–78.715284°</t>
  </si>
  <si>
    <t>–78.198315°</t>
  </si>
  <si>
    <t>–75.709428°</t>
  </si>
  <si>
    <t>Centre</t>
  </si>
  <si>
    <t>–77.847830°</t>
  </si>
  <si>
    <t>Chester</t>
  </si>
  <si>
    <t>–75.749732°</t>
  </si>
  <si>
    <t>Clarion</t>
  </si>
  <si>
    <t>–79.420404°</t>
  </si>
  <si>
    <t>Clearfield</t>
  </si>
  <si>
    <t>–78.473749°</t>
  </si>
  <si>
    <t>–77.649141°</t>
  </si>
  <si>
    <t>–76.404260°</t>
  </si>
  <si>
    <t>–80.107811°</t>
  </si>
  <si>
    <t>–77.263440°</t>
  </si>
  <si>
    <t>Dauphin</t>
  </si>
  <si>
    <t>–76.792634°</t>
  </si>
  <si>
    <t>–75.398786°</t>
  </si>
  <si>
    <t>–78.653938°</t>
  </si>
  <si>
    <t>–80.096386°</t>
  </si>
  <si>
    <t>–79.644586°</t>
  </si>
  <si>
    <t>Forest</t>
  </si>
  <si>
    <t>–79.249705°</t>
  </si>
  <si>
    <t>–77.724485°</t>
  </si>
  <si>
    <t>–78.122617°</t>
  </si>
  <si>
    <t>–80.225694°</t>
  </si>
  <si>
    <t>Huntingdon</t>
  </si>
  <si>
    <t>–77.968584°</t>
  </si>
  <si>
    <t>Indiana</t>
  </si>
  <si>
    <t>–79.087545°</t>
  </si>
  <si>
    <t>–78.999044°</t>
  </si>
  <si>
    <t>Juniata</t>
  </si>
  <si>
    <t>–77.400438°</t>
  </si>
  <si>
    <t>Lackawanna</t>
  </si>
  <si>
    <t>–75.609587°</t>
  </si>
  <si>
    <t>–76.250198°</t>
  </si>
  <si>
    <t>–80.334446°</t>
  </si>
  <si>
    <t>Lebanon</t>
  </si>
  <si>
    <t>–76.458009°</t>
  </si>
  <si>
    <t>Lehigh</t>
  </si>
  <si>
    <t>–75.590627°</t>
  </si>
  <si>
    <t>Luzerne</t>
  </si>
  <si>
    <t>–75.976035°</t>
  </si>
  <si>
    <t>Lycoming</t>
  </si>
  <si>
    <t>–77.055253°</t>
  </si>
  <si>
    <t>McKean</t>
  </si>
  <si>
    <t>–78.572463°</t>
  </si>
  <si>
    <t>–80.252786°</t>
  </si>
  <si>
    <t>Mifflin</t>
  </si>
  <si>
    <t>–77.620661°</t>
  </si>
  <si>
    <t>–75.329037°</t>
  </si>
  <si>
    <t>–75.370201°</t>
  </si>
  <si>
    <t>Montour</t>
  </si>
  <si>
    <t>–76.665259°</t>
  </si>
  <si>
    <t>–75.307447°</t>
  </si>
  <si>
    <t>Northumberland</t>
  </si>
  <si>
    <t>–76.709877°</t>
  </si>
  <si>
    <t>–77.266328°</t>
  </si>
  <si>
    <t>Philadelphia</t>
  </si>
  <si>
    <t>–75.133346°</t>
  </si>
  <si>
    <t>–75.031514°</t>
  </si>
  <si>
    <t>Potter</t>
  </si>
  <si>
    <t>–77.894735°</t>
  </si>
  <si>
    <t>Schuylkill</t>
  </si>
  <si>
    <t>–76.217800°</t>
  </si>
  <si>
    <t>Snyder</t>
  </si>
  <si>
    <t>–77.072954°</t>
  </si>
  <si>
    <t>–79.028486°</t>
  </si>
  <si>
    <t>–76.511525°</t>
  </si>
  <si>
    <t>Susquehanna</t>
  </si>
  <si>
    <t>–75.800969°</t>
  </si>
  <si>
    <t>–77.257288°</t>
  </si>
  <si>
    <t>–77.055475°</t>
  </si>
  <si>
    <t>Venango</t>
  </si>
  <si>
    <t>–79.754418°</t>
  </si>
  <si>
    <t>–79.313173°</t>
  </si>
  <si>
    <t>–80.252132°</t>
  </si>
  <si>
    <t>–75.292485°</t>
  </si>
  <si>
    <t>Westmoreland</t>
  </si>
  <si>
    <t>–79.466688°</t>
  </si>
  <si>
    <t>–76.008780°</t>
  </si>
  <si>
    <t>–76.728446°</t>
  </si>
  <si>
    <t>RI</t>
  </si>
  <si>
    <t>Bristol [6]</t>
  </si>
  <si>
    <t>–71.285053°</t>
  </si>
  <si>
    <t>Kent [6]</t>
  </si>
  <si>
    <t>–71.576314°</t>
  </si>
  <si>
    <t>Newport [6]</t>
  </si>
  <si>
    <t>–71.284063°</t>
  </si>
  <si>
    <t>Providence [6]</t>
  </si>
  <si>
    <t>–71.578242°</t>
  </si>
  <si>
    <t>Washington [6]</t>
  </si>
  <si>
    <t>–71.617612°</t>
  </si>
  <si>
    <t>SC</t>
  </si>
  <si>
    <t>Abbeville</t>
  </si>
  <si>
    <t>–82.460460°</t>
  </si>
  <si>
    <t>Aiken</t>
  </si>
  <si>
    <t>–81.633870°</t>
  </si>
  <si>
    <t>Allendale</t>
  </si>
  <si>
    <t>–81.363421°</t>
  </si>
  <si>
    <t>–82.638086°</t>
  </si>
  <si>
    <t>Bamberg</t>
  </si>
  <si>
    <t>–81.053161°</t>
  </si>
  <si>
    <t>Barnwell</t>
  </si>
  <si>
    <t>–81.433753°</t>
  </si>
  <si>
    <t>–80.689320°</t>
  </si>
  <si>
    <t>Berkeley</t>
  </si>
  <si>
    <t>–79.953655°</t>
  </si>
  <si>
    <t>–80.780347°</t>
  </si>
  <si>
    <t>Charleston</t>
  </si>
  <si>
    <t>–79.942480°</t>
  </si>
  <si>
    <t>–81.607647°</t>
  </si>
  <si>
    <t>–81.161249°</t>
  </si>
  <si>
    <t>Chesterfield</t>
  </si>
  <si>
    <t>–80.159227°</t>
  </si>
  <si>
    <t>Clarendon</t>
  </si>
  <si>
    <t>–80.217889°</t>
  </si>
  <si>
    <t>Colleton</t>
  </si>
  <si>
    <t>–80.655345°</t>
  </si>
  <si>
    <t>Darlington</t>
  </si>
  <si>
    <t>–79.962116°</t>
  </si>
  <si>
    <t>Dillon</t>
  </si>
  <si>
    <t>–79.374964°</t>
  </si>
  <si>
    <t>–80.404697°</t>
  </si>
  <si>
    <t>Edgefield</t>
  </si>
  <si>
    <t>–81.968245°</t>
  </si>
  <si>
    <t>–81.127001°</t>
  </si>
  <si>
    <t>Florence</t>
  </si>
  <si>
    <t>–79.710233°</t>
  </si>
  <si>
    <t>Georgetown</t>
  </si>
  <si>
    <t>–79.300812°</t>
  </si>
  <si>
    <t>Greenville</t>
  </si>
  <si>
    <t>–82.372077°</t>
  </si>
  <si>
    <t>–82.127876°</t>
  </si>
  <si>
    <t>Hampton</t>
  </si>
  <si>
    <t>–81.143362°</t>
  </si>
  <si>
    <t>Horry</t>
  </si>
  <si>
    <t>–78.976675°</t>
  </si>
  <si>
    <t>–81.021627°</t>
  </si>
  <si>
    <t>Kershaw</t>
  </si>
  <si>
    <t>–80.590885°</t>
  </si>
  <si>
    <t>–80.703689°</t>
  </si>
  <si>
    <t>–82.005657°</t>
  </si>
  <si>
    <t>–80.251209°</t>
  </si>
  <si>
    <t>Lexington</t>
  </si>
  <si>
    <t>–81.272853°</t>
  </si>
  <si>
    <t>McCormick</t>
  </si>
  <si>
    <t>–82.316192°</t>
  </si>
  <si>
    <t>–79.362131°</t>
  </si>
  <si>
    <t>Marlboro</t>
  </si>
  <si>
    <t>–79.677942°</t>
  </si>
  <si>
    <t>Newberry</t>
  </si>
  <si>
    <t>–81.600053°</t>
  </si>
  <si>
    <t>–83.061522°</t>
  </si>
  <si>
    <t>Orangeburg</t>
  </si>
  <si>
    <t>–80.802913°</t>
  </si>
  <si>
    <t>–82.725368°</t>
  </si>
  <si>
    <t>–80.896566°</t>
  </si>
  <si>
    <t>Saluda</t>
  </si>
  <si>
    <t>–81.727903°</t>
  </si>
  <si>
    <t>Spartanburg</t>
  </si>
  <si>
    <t>–81.991053°</t>
  </si>
  <si>
    <t>–80.382472°</t>
  </si>
  <si>
    <t>–81.615831°</t>
  </si>
  <si>
    <t>Williamsburg</t>
  </si>
  <si>
    <t>–79.716475°</t>
  </si>
  <si>
    <t>–81.183189°</t>
  </si>
  <si>
    <t>SD</t>
  </si>
  <si>
    <t>Aurora</t>
  </si>
  <si>
    <t>–98.577587°</t>
  </si>
  <si>
    <t>Beadle</t>
  </si>
  <si>
    <t>–98.279422°</t>
  </si>
  <si>
    <t>Bennett</t>
  </si>
  <si>
    <t>–101.676426°</t>
  </si>
  <si>
    <t>Bon Homme</t>
  </si>
  <si>
    <t>–97.885613°</t>
  </si>
  <si>
    <t>Brookings</t>
  </si>
  <si>
    <t>–96.797797°</t>
  </si>
  <si>
    <t>–98.352175°</t>
  </si>
  <si>
    <t>Brule</t>
  </si>
  <si>
    <t>–99.092941°</t>
  </si>
  <si>
    <t>–99.203998°</t>
  </si>
  <si>
    <t>–103.501762°</t>
  </si>
  <si>
    <t>–100.027951°</t>
  </si>
  <si>
    <t>Charles Mix</t>
  </si>
  <si>
    <t>–98.595143°</t>
  </si>
  <si>
    <t>–97.724912°</t>
  </si>
  <si>
    <t>–96.979795°</t>
  </si>
  <si>
    <t>Codington</t>
  </si>
  <si>
    <t>–97.198843°</t>
  </si>
  <si>
    <t>Corson</t>
  </si>
  <si>
    <t>–101.176017°</t>
  </si>
  <si>
    <t>–103.462250°</t>
  </si>
  <si>
    <t>Davison</t>
  </si>
  <si>
    <t>–98.155868°</t>
  </si>
  <si>
    <t>Day</t>
  </si>
  <si>
    <t>–97.593734°</t>
  </si>
  <si>
    <t>–96.690239°</t>
  </si>
  <si>
    <t>–100.852218°</t>
  </si>
  <si>
    <t>–98.358433°</t>
  </si>
  <si>
    <t>Edmunds</t>
  </si>
  <si>
    <t>–99.205362°</t>
  </si>
  <si>
    <t>Fall River</t>
  </si>
  <si>
    <t>–103.512102°</t>
  </si>
  <si>
    <t>Faulk</t>
  </si>
  <si>
    <t>–99.153564°</t>
  </si>
  <si>
    <t>–96.772261°</t>
  </si>
  <si>
    <t>Gregory</t>
  </si>
  <si>
    <t>–99.202158°</t>
  </si>
  <si>
    <t>Haakon</t>
  </si>
  <si>
    <t>–101.591790°</t>
  </si>
  <si>
    <t>Hamlin</t>
  </si>
  <si>
    <t>–97.178598°</t>
  </si>
  <si>
    <t>Hand</t>
  </si>
  <si>
    <t>–99.004575°</t>
  </si>
  <si>
    <t>Hanson</t>
  </si>
  <si>
    <t>–97.796845°</t>
  </si>
  <si>
    <t>–103.473867°</t>
  </si>
  <si>
    <t>–99.985846°</t>
  </si>
  <si>
    <t>Hutchinson</t>
  </si>
  <si>
    <t>–97.749383°</t>
  </si>
  <si>
    <t>–99.492148°</t>
  </si>
  <si>
    <t>–101.626455°</t>
  </si>
  <si>
    <t>Jerauld</t>
  </si>
  <si>
    <t>–98.623188°</t>
  </si>
  <si>
    <t>–100.686139°</t>
  </si>
  <si>
    <t>Kingsbury</t>
  </si>
  <si>
    <t>–97.499313°</t>
  </si>
  <si>
    <t>–97.123223°</t>
  </si>
  <si>
    <t>–103.796528°</t>
  </si>
  <si>
    <t>–96.722286°</t>
  </si>
  <si>
    <t>Lyman</t>
  </si>
  <si>
    <t>–99.841925°</t>
  </si>
  <si>
    <t>McCook</t>
  </si>
  <si>
    <t>–97.362036°</t>
  </si>
  <si>
    <t>–99.211421°</t>
  </si>
  <si>
    <t>–97.580884°</t>
  </si>
  <si>
    <t>–102.715864°</t>
  </si>
  <si>
    <t>Mellette</t>
  </si>
  <si>
    <t>–100.760598°</t>
  </si>
  <si>
    <t>Miner</t>
  </si>
  <si>
    <t>–97.609790°</t>
  </si>
  <si>
    <t>Minnehaha</t>
  </si>
  <si>
    <t>–96.795726°</t>
  </si>
  <si>
    <t>Moody</t>
  </si>
  <si>
    <t>–96.676054°</t>
  </si>
  <si>
    <t>–102.823802°</t>
  </si>
  <si>
    <t>–102.467995°</t>
  </si>
  <si>
    <t>–99.949631°</t>
  </si>
  <si>
    <t>Roberts</t>
  </si>
  <si>
    <t>–96.947551°</t>
  </si>
  <si>
    <t>Sanborn</t>
  </si>
  <si>
    <t>–98.092105°</t>
  </si>
  <si>
    <t>Oglala Lakota [11]</t>
  </si>
  <si>
    <t>–102.559480°</t>
  </si>
  <si>
    <t>Spink</t>
  </si>
  <si>
    <t>–98.339644°</t>
  </si>
  <si>
    <t>Stanley</t>
  </si>
  <si>
    <t>–100.749163°</t>
  </si>
  <si>
    <t>Sully</t>
  </si>
  <si>
    <t>–100.131399°</t>
  </si>
  <si>
    <t>Todd [12]</t>
  </si>
  <si>
    <t>–100.717204°</t>
  </si>
  <si>
    <t>Tripp</t>
  </si>
  <si>
    <t>–99.876219°</t>
  </si>
  <si>
    <t>–97.150185°</t>
  </si>
  <si>
    <t>–96.650829°</t>
  </si>
  <si>
    <t>Walworth</t>
  </si>
  <si>
    <t>–100.027856°</t>
  </si>
  <si>
    <t>Yankton</t>
  </si>
  <si>
    <t>–97.388339°</t>
  </si>
  <si>
    <t>Ziebach</t>
  </si>
  <si>
    <t>–101.669225°</t>
  </si>
  <si>
    <t>TN</t>
  </si>
  <si>
    <t>–84.195418°</t>
  </si>
  <si>
    <t>–86.458294°</t>
  </si>
  <si>
    <t>–88.071212°</t>
  </si>
  <si>
    <t>Bledsoe</t>
  </si>
  <si>
    <t>–85.205979°</t>
  </si>
  <si>
    <t>–83.922973°</t>
  </si>
  <si>
    <t>–84.859414°</t>
  </si>
  <si>
    <t>–84.159250°</t>
  </si>
  <si>
    <t>Cannon</t>
  </si>
  <si>
    <t>–86.062404°</t>
  </si>
  <si>
    <t>–88.451659°</t>
  </si>
  <si>
    <t>–82.126593°</t>
  </si>
  <si>
    <t>Cheatham</t>
  </si>
  <si>
    <t>–87.100816°</t>
  </si>
  <si>
    <t>–88.605505°</t>
  </si>
  <si>
    <t>–83.660724°</t>
  </si>
  <si>
    <t>–85.545718°</t>
  </si>
  <si>
    <t>Cocke</t>
  </si>
  <si>
    <t>–83.119223°</t>
  </si>
  <si>
    <t>–86.078219°</t>
  </si>
  <si>
    <t>Crockett</t>
  </si>
  <si>
    <t>–89.135349°</t>
  </si>
  <si>
    <t>–84.994761°</t>
  </si>
  <si>
    <t>–86.784790°</t>
  </si>
  <si>
    <t>–88.107384°</t>
  </si>
  <si>
    <t>–85.833596°</t>
  </si>
  <si>
    <t>Dickson</t>
  </si>
  <si>
    <t>–87.364155°</t>
  </si>
  <si>
    <t>Dyer</t>
  </si>
  <si>
    <t>–89.398306°</t>
  </si>
  <si>
    <t>–89.413803°</t>
  </si>
  <si>
    <t>Fentress</t>
  </si>
  <si>
    <t>–84.932703°</t>
  </si>
  <si>
    <t>–86.099203°</t>
  </si>
  <si>
    <t>–88.933776°</t>
  </si>
  <si>
    <t>Giles</t>
  </si>
  <si>
    <t>–87.035319°</t>
  </si>
  <si>
    <t>Grainger</t>
  </si>
  <si>
    <t>–83.509493°</t>
  </si>
  <si>
    <t>–82.847746°</t>
  </si>
  <si>
    <t>–85.722188°</t>
  </si>
  <si>
    <t>Hamblen</t>
  </si>
  <si>
    <t>–83.266071°</t>
  </si>
  <si>
    <t>–85.202296°</t>
  </si>
  <si>
    <t>–83.227453°</t>
  </si>
  <si>
    <t>Hardeman</t>
  </si>
  <si>
    <t>–88.989037°</t>
  </si>
  <si>
    <t>–88.185696°</t>
  </si>
  <si>
    <t>Hawkins</t>
  </si>
  <si>
    <t>–82.931386°</t>
  </si>
  <si>
    <t>–89.282536°</t>
  </si>
  <si>
    <t>–88.387674°</t>
  </si>
  <si>
    <t>–88.300384°</t>
  </si>
  <si>
    <t>–87.467114°</t>
  </si>
  <si>
    <t>–87.705605°</t>
  </si>
  <si>
    <t>–87.790625°</t>
  </si>
  <si>
    <t>–85.674182°</t>
  </si>
  <si>
    <t>–83.440966°</t>
  </si>
  <si>
    <t>–81.861237°</t>
  </si>
  <si>
    <t>–83.937721°</t>
  </si>
  <si>
    <t>–89.485537°</t>
  </si>
  <si>
    <t>–89.627732°</t>
  </si>
  <si>
    <t>–87.396546°</t>
  </si>
  <si>
    <t>–87.496983°</t>
  </si>
  <si>
    <t>–86.593388°</t>
  </si>
  <si>
    <t>Loudon</t>
  </si>
  <si>
    <t>–84.316204°</t>
  </si>
  <si>
    <t>McMinn</t>
  </si>
  <si>
    <t>–84.619963°</t>
  </si>
  <si>
    <t>McNairy</t>
  </si>
  <si>
    <t>–88.564671°</t>
  </si>
  <si>
    <t>–86.001231°</t>
  </si>
  <si>
    <t>–88.833424°</t>
  </si>
  <si>
    <t>–85.618399°</t>
  </si>
  <si>
    <t>–86.765886°</t>
  </si>
  <si>
    <t>Maury</t>
  </si>
  <si>
    <t>–87.077763°</t>
  </si>
  <si>
    <t>–84.823888°</t>
  </si>
  <si>
    <t>–84.249786°</t>
  </si>
  <si>
    <t>–87.380887°</t>
  </si>
  <si>
    <t>–86.358684°</t>
  </si>
  <si>
    <t>–84.639262°</t>
  </si>
  <si>
    <t>Obion</t>
  </si>
  <si>
    <t>–89.150175°</t>
  </si>
  <si>
    <t>Overton</t>
  </si>
  <si>
    <t>–85.283076°</t>
  </si>
  <si>
    <t>–87.877027°</t>
  </si>
  <si>
    <t>Pickett</t>
  </si>
  <si>
    <t>–85.075741°</t>
  </si>
  <si>
    <t>–84.541112°</t>
  </si>
  <si>
    <t>–85.496928°</t>
  </si>
  <si>
    <t>Rhea</t>
  </si>
  <si>
    <t>–84.949552°</t>
  </si>
  <si>
    <t>Roane</t>
  </si>
  <si>
    <t>–84.523861°</t>
  </si>
  <si>
    <t>–86.869377°</t>
  </si>
  <si>
    <t>–86.417213°</t>
  </si>
  <si>
    <t>–84.498386°</t>
  </si>
  <si>
    <t>Sequatchie</t>
  </si>
  <si>
    <t>–85.410344°</t>
  </si>
  <si>
    <t>–83.521955°</t>
  </si>
  <si>
    <t>–89.895397°</t>
  </si>
  <si>
    <t>–85.942078°</t>
  </si>
  <si>
    <t>–87.851548°</t>
  </si>
  <si>
    <t>–82.299397°</t>
  </si>
  <si>
    <t>–86.458517°</t>
  </si>
  <si>
    <t>–89.763708°</t>
  </si>
  <si>
    <t>Trousdale</t>
  </si>
  <si>
    <t>–86.156691°</t>
  </si>
  <si>
    <t>Unicoi</t>
  </si>
  <si>
    <t>–82.418245°</t>
  </si>
  <si>
    <t>–83.836088°</t>
  </si>
  <si>
    <t>–85.458411°</t>
  </si>
  <si>
    <t>–85.777363°</t>
  </si>
  <si>
    <t>–82.495037°</t>
  </si>
  <si>
    <t>–87.819703°</t>
  </si>
  <si>
    <t>Weakley</t>
  </si>
  <si>
    <t>–88.720785°</t>
  </si>
  <si>
    <t>–85.455766°</t>
  </si>
  <si>
    <t>–86.896958°</t>
  </si>
  <si>
    <t>–86.290210°</t>
  </si>
  <si>
    <t>TX</t>
  </si>
  <si>
    <t>–95.661744°</t>
  </si>
  <si>
    <t>Andrews</t>
  </si>
  <si>
    <t>–102.640206°</t>
  </si>
  <si>
    <t>Angelina</t>
  </si>
  <si>
    <t>–94.611056°</t>
  </si>
  <si>
    <t>Aransas</t>
  </si>
  <si>
    <t>–96.977983°</t>
  </si>
  <si>
    <t>Archer</t>
  </si>
  <si>
    <t>–98.687267°</t>
  </si>
  <si>
    <t>–101.356636°</t>
  </si>
  <si>
    <t>Atascosa</t>
  </si>
  <si>
    <t>–98.528187°</t>
  </si>
  <si>
    <t>Austin</t>
  </si>
  <si>
    <t>–96.270170°</t>
  </si>
  <si>
    <t>Bailey</t>
  </si>
  <si>
    <t>–102.830345°</t>
  </si>
  <si>
    <t>Bandera</t>
  </si>
  <si>
    <t>–99.260682°</t>
  </si>
  <si>
    <t>Bastrop</t>
  </si>
  <si>
    <t>–97.311859°</t>
  </si>
  <si>
    <t>Baylor</t>
  </si>
  <si>
    <t>–99.197228°</t>
  </si>
  <si>
    <t>Bee</t>
  </si>
  <si>
    <t>–97.742586°</t>
  </si>
  <si>
    <t>–97.481921°</t>
  </si>
  <si>
    <t>Bexar</t>
  </si>
  <si>
    <t>–98.520147°</t>
  </si>
  <si>
    <t>Blanco</t>
  </si>
  <si>
    <t>–98.399977°</t>
  </si>
  <si>
    <t>Borden</t>
  </si>
  <si>
    <t>–101.433033°</t>
  </si>
  <si>
    <t>Bosque</t>
  </si>
  <si>
    <t>–97.637632°</t>
  </si>
  <si>
    <t>Bowie</t>
  </si>
  <si>
    <t>–94.422375°</t>
  </si>
  <si>
    <t>Brazoria</t>
  </si>
  <si>
    <t>–95.434647°</t>
  </si>
  <si>
    <t>Brazos</t>
  </si>
  <si>
    <t>–96.302389°</t>
  </si>
  <si>
    <t>Brewster</t>
  </si>
  <si>
    <t>–103.252458°</t>
  </si>
  <si>
    <t>Briscoe</t>
  </si>
  <si>
    <t>–101.205893°</t>
  </si>
  <si>
    <t>–98.215276°</t>
  </si>
  <si>
    <t>–98.998470°</t>
  </si>
  <si>
    <t>Burleson</t>
  </si>
  <si>
    <t>–96.622091°</t>
  </si>
  <si>
    <t>Burnet</t>
  </si>
  <si>
    <t>–98.201195°</t>
  </si>
  <si>
    <t>–97.631097°</t>
  </si>
  <si>
    <t>–96.583300°</t>
  </si>
  <si>
    <t>Callahan</t>
  </si>
  <si>
    <t>–99.372249°</t>
  </si>
  <si>
    <t>–97.478958°</t>
  </si>
  <si>
    <t>Camp</t>
  </si>
  <si>
    <t>–94.979085°</t>
  </si>
  <si>
    <t>Carson</t>
  </si>
  <si>
    <t>–101.355356°</t>
  </si>
  <si>
    <t>–94.357579°</t>
  </si>
  <si>
    <t>Castro</t>
  </si>
  <si>
    <t>–102.258786°</t>
  </si>
  <si>
    <t>–94.668875°</t>
  </si>
  <si>
    <t>–95.156504°</t>
  </si>
  <si>
    <t>Childress</t>
  </si>
  <si>
    <t>–100.208336°</t>
  </si>
  <si>
    <t>–98.212918°</t>
  </si>
  <si>
    <t>Cochran</t>
  </si>
  <si>
    <t>–102.830449°</t>
  </si>
  <si>
    <t>Coke</t>
  </si>
  <si>
    <t>–100.635236°</t>
  </si>
  <si>
    <t>Coleman</t>
  </si>
  <si>
    <t>–99.346622°</t>
  </si>
  <si>
    <t>Collin</t>
  </si>
  <si>
    <t>–96.578153°</t>
  </si>
  <si>
    <t>Collingsworth</t>
  </si>
  <si>
    <t>–100.272135°</t>
  </si>
  <si>
    <t>Colorado</t>
  </si>
  <si>
    <t>–96.508389°</t>
  </si>
  <si>
    <t>Comal</t>
  </si>
  <si>
    <t>–98.255201°</t>
  </si>
  <si>
    <t>–98.549617°</t>
  </si>
  <si>
    <t>Concho</t>
  </si>
  <si>
    <t>–99.863648°</t>
  </si>
  <si>
    <t>Cooke</t>
  </si>
  <si>
    <t>–97.210372°</t>
  </si>
  <si>
    <t>Coryell</t>
  </si>
  <si>
    <t>–97.798022°</t>
  </si>
  <si>
    <t>Cottle</t>
  </si>
  <si>
    <t>–100.276442°</t>
  </si>
  <si>
    <t>Crane</t>
  </si>
  <si>
    <t>–102.487774°</t>
  </si>
  <si>
    <t>–101.404211°</t>
  </si>
  <si>
    <t>Crosby</t>
  </si>
  <si>
    <t>–101.298710°</t>
  </si>
  <si>
    <t>Culberson</t>
  </si>
  <si>
    <t>–104.526945°</t>
  </si>
  <si>
    <t>Dallam</t>
  </si>
  <si>
    <t>–102.594020°</t>
  </si>
  <si>
    <t>–96.778424°</t>
  </si>
  <si>
    <t>–101.947322°</t>
  </si>
  <si>
    <t>Deaf Smith</t>
  </si>
  <si>
    <t>–102.607564°</t>
  </si>
  <si>
    <t>–95.673350°</t>
  </si>
  <si>
    <t>Denton</t>
  </si>
  <si>
    <t>–97.119046°</t>
  </si>
  <si>
    <t>DeWitt</t>
  </si>
  <si>
    <t>–97.361656°</t>
  </si>
  <si>
    <t>Dickens</t>
  </si>
  <si>
    <t>–100.786095°</t>
  </si>
  <si>
    <t>Dimmit</t>
  </si>
  <si>
    <t>–99.765871°</t>
  </si>
  <si>
    <t>Donley</t>
  </si>
  <si>
    <t>–100.815846°</t>
  </si>
  <si>
    <t>–98.497393°</t>
  </si>
  <si>
    <t>Eastland</t>
  </si>
  <si>
    <t>–98.836560°</t>
  </si>
  <si>
    <t>Ector</t>
  </si>
  <si>
    <t>–102.542507°</t>
  </si>
  <si>
    <t>–100.307373°</t>
  </si>
  <si>
    <t>–96.798336°</t>
  </si>
  <si>
    <t>–106.241391°</t>
  </si>
  <si>
    <t>Erath</t>
  </si>
  <si>
    <t>–98.222377°</t>
  </si>
  <si>
    <t>Falls</t>
  </si>
  <si>
    <t>–96.934128°</t>
  </si>
  <si>
    <t>–96.104988°</t>
  </si>
  <si>
    <t>–96.921231°</t>
  </si>
  <si>
    <t>Fisher</t>
  </si>
  <si>
    <t>–100.403120°</t>
  </si>
  <si>
    <t>–101.303274°</t>
  </si>
  <si>
    <t>Foard</t>
  </si>
  <si>
    <t>–99.777427°</t>
  </si>
  <si>
    <t>Fort Bend</t>
  </si>
  <si>
    <t>–95.771015°</t>
  </si>
  <si>
    <t>–95.219066°</t>
  </si>
  <si>
    <t>Freestone</t>
  </si>
  <si>
    <t>–96.144237°</t>
  </si>
  <si>
    <t>Frio</t>
  </si>
  <si>
    <t>–99.108788°</t>
  </si>
  <si>
    <t>Gaines</t>
  </si>
  <si>
    <t>–102.631562°</t>
  </si>
  <si>
    <t>Galveston</t>
  </si>
  <si>
    <t>–94.894865°</t>
  </si>
  <si>
    <t>Garza</t>
  </si>
  <si>
    <t>–101.301134°</t>
  </si>
  <si>
    <t>Gillespie</t>
  </si>
  <si>
    <t>–98.942106°</t>
  </si>
  <si>
    <t>Glasscock</t>
  </si>
  <si>
    <t>–101.528971°</t>
  </si>
  <si>
    <t>Goliad</t>
  </si>
  <si>
    <t>–97.430415°</t>
  </si>
  <si>
    <t>Gonzales</t>
  </si>
  <si>
    <t>–97.477738°</t>
  </si>
  <si>
    <t>–100.812374°</t>
  </si>
  <si>
    <t>–96.675699°</t>
  </si>
  <si>
    <t>Gregg</t>
  </si>
  <si>
    <t>–94.816276°</t>
  </si>
  <si>
    <t>Grimes</t>
  </si>
  <si>
    <t>–95.988082°</t>
  </si>
  <si>
    <t>–97.949027°</t>
  </si>
  <si>
    <t>–101.822888°</t>
  </si>
  <si>
    <t>–100.576343°</t>
  </si>
  <si>
    <t>–98.111794°</t>
  </si>
  <si>
    <t>Hansford</t>
  </si>
  <si>
    <t>–101.356930°</t>
  </si>
  <si>
    <t>–99.745697°</t>
  </si>
  <si>
    <t>–94.393149°</t>
  </si>
  <si>
    <t>–95.393037°</t>
  </si>
  <si>
    <t>–94.374425°</t>
  </si>
  <si>
    <t>Hartley</t>
  </si>
  <si>
    <t>–102.610047°</t>
  </si>
  <si>
    <t>–99.730773°</t>
  </si>
  <si>
    <t>Hays</t>
  </si>
  <si>
    <t>–98.029267°</t>
  </si>
  <si>
    <t>Hemphill</t>
  </si>
  <si>
    <t>–100.284807°</t>
  </si>
  <si>
    <t>–95.853418°</t>
  </si>
  <si>
    <t>–98.180990°</t>
  </si>
  <si>
    <t>–97.129886°</t>
  </si>
  <si>
    <t>Hockley</t>
  </si>
  <si>
    <t>–102.343398°</t>
  </si>
  <si>
    <t>Hood</t>
  </si>
  <si>
    <t>–97.831677°</t>
  </si>
  <si>
    <t>–95.565194°</t>
  </si>
  <si>
    <t>–95.421600°</t>
  </si>
  <si>
    <t>–101.438530°</t>
  </si>
  <si>
    <t>Hudspeth</t>
  </si>
  <si>
    <t>–105.377549°</t>
  </si>
  <si>
    <t>Hunt</t>
  </si>
  <si>
    <t>–96.083807°</t>
  </si>
  <si>
    <t>–101.362746°</t>
  </si>
  <si>
    <t>Irion</t>
  </si>
  <si>
    <t>–100.981304°</t>
  </si>
  <si>
    <t>Jack</t>
  </si>
  <si>
    <t>–98.171902°</t>
  </si>
  <si>
    <t>–96.589080°</t>
  </si>
  <si>
    <t>–94.022294°</t>
  </si>
  <si>
    <t>–104.187860°</t>
  </si>
  <si>
    <t>–94.149331°</t>
  </si>
  <si>
    <t>Jim Hogg</t>
  </si>
  <si>
    <t>–98.700127°</t>
  </si>
  <si>
    <t>Jim Wells</t>
  </si>
  <si>
    <t>–98.090814°</t>
  </si>
  <si>
    <t>–97.364823°</t>
  </si>
  <si>
    <t>–99.874430°</t>
  </si>
  <si>
    <t>Karnes</t>
  </si>
  <si>
    <t>–97.860767°</t>
  </si>
  <si>
    <t>Kaufman</t>
  </si>
  <si>
    <t>–96.288378°</t>
  </si>
  <si>
    <t>–98.711094°</t>
  </si>
  <si>
    <t>Kenedy</t>
  </si>
  <si>
    <t>–97.591233°</t>
  </si>
  <si>
    <t>–100.769720°</t>
  </si>
  <si>
    <t>Kerr</t>
  </si>
  <si>
    <t>–99.351968°</t>
  </si>
  <si>
    <t>Kimble</t>
  </si>
  <si>
    <t>–99.746396°</t>
  </si>
  <si>
    <t>King</t>
  </si>
  <si>
    <t>–100.250548°</t>
  </si>
  <si>
    <t>Kinney</t>
  </si>
  <si>
    <t>–100.417700°</t>
  </si>
  <si>
    <t>Kleberg</t>
  </si>
  <si>
    <t>–97.660620°</t>
  </si>
  <si>
    <t>–99.747112°</t>
  </si>
  <si>
    <t>–95.570348°</t>
  </si>
  <si>
    <t>Lamb</t>
  </si>
  <si>
    <t>–102.348018°</t>
  </si>
  <si>
    <t>Lampasas</t>
  </si>
  <si>
    <t>–98.240889°</t>
  </si>
  <si>
    <t>–99.096774°</t>
  </si>
  <si>
    <t>Lavaca</t>
  </si>
  <si>
    <t>–96.923633°</t>
  </si>
  <si>
    <t>–96.976365°</t>
  </si>
  <si>
    <t>–95.995622°</t>
  </si>
  <si>
    <t>–94.822682°</t>
  </si>
  <si>
    <t>–96.593623°</t>
  </si>
  <si>
    <t>Lipscomb</t>
  </si>
  <si>
    <t>–100.272683°</t>
  </si>
  <si>
    <t>Live Oak</t>
  </si>
  <si>
    <t>–98.126961°</t>
  </si>
  <si>
    <t>Llano</t>
  </si>
  <si>
    <t>–98.684690°</t>
  </si>
  <si>
    <t>Loving</t>
  </si>
  <si>
    <t>–103.561229°</t>
  </si>
  <si>
    <t>Lubbock</t>
  </si>
  <si>
    <t>–101.819944°</t>
  </si>
  <si>
    <t>Lynn</t>
  </si>
  <si>
    <t>–101.818493°</t>
  </si>
  <si>
    <t>McCulloch</t>
  </si>
  <si>
    <t>–99.359856°</t>
  </si>
  <si>
    <t>McLennan</t>
  </si>
  <si>
    <t>–97.201472°</t>
  </si>
  <si>
    <t>McMullen</t>
  </si>
  <si>
    <t>–98.578853°</t>
  </si>
  <si>
    <t>–95.930372°</t>
  </si>
  <si>
    <t>–94.357673°</t>
  </si>
  <si>
    <t>–101.961836°</t>
  </si>
  <si>
    <t>–99.237608°</t>
  </si>
  <si>
    <t>Matagorda</t>
  </si>
  <si>
    <t>–95.997755°</t>
  </si>
  <si>
    <t>Maverick</t>
  </si>
  <si>
    <t>–100.311368°</t>
  </si>
  <si>
    <t>–99.111085°</t>
  </si>
  <si>
    <t>–99.854936°</t>
  </si>
  <si>
    <t>–102.024326°</t>
  </si>
  <si>
    <t>Milam</t>
  </si>
  <si>
    <t>–96.984395°</t>
  </si>
  <si>
    <t>–98.594623°</t>
  </si>
  <si>
    <t>–100.924580°</t>
  </si>
  <si>
    <t>Montague</t>
  </si>
  <si>
    <t>–97.724747°</t>
  </si>
  <si>
    <t>–95.503523°</t>
  </si>
  <si>
    <t>–101.890502°</t>
  </si>
  <si>
    <t>–94.731265°</t>
  </si>
  <si>
    <t>Motley</t>
  </si>
  <si>
    <t>–100.793696°</t>
  </si>
  <si>
    <t>Nacogdoches</t>
  </si>
  <si>
    <t>–94.620250°</t>
  </si>
  <si>
    <t>Navarro</t>
  </si>
  <si>
    <t>–96.476908°</t>
  </si>
  <si>
    <t>–93.739250°</t>
  </si>
  <si>
    <t>Nolan</t>
  </si>
  <si>
    <t>–100.418108°</t>
  </si>
  <si>
    <t>Nueces</t>
  </si>
  <si>
    <t>–97.521643°</t>
  </si>
  <si>
    <t>Ochiltree</t>
  </si>
  <si>
    <t>–100.815864°</t>
  </si>
  <si>
    <t>–102.597620°</t>
  </si>
  <si>
    <t>–93.893358°</t>
  </si>
  <si>
    <t>Palo Pinto</t>
  </si>
  <si>
    <t>–98.317974°</t>
  </si>
  <si>
    <t>–94.305156°</t>
  </si>
  <si>
    <t>Parker</t>
  </si>
  <si>
    <t>–97.805905°</t>
  </si>
  <si>
    <t>Parmer</t>
  </si>
  <si>
    <t>–102.784853°</t>
  </si>
  <si>
    <t>Pecos</t>
  </si>
  <si>
    <t>–102.719860°</t>
  </si>
  <si>
    <t>–94.837338°</t>
  </si>
  <si>
    <t>–101.893804°</t>
  </si>
  <si>
    <t>Presidio</t>
  </si>
  <si>
    <t>–104.261619°</t>
  </si>
  <si>
    <t>Rains</t>
  </si>
  <si>
    <t>–95.795440°</t>
  </si>
  <si>
    <t>Randall</t>
  </si>
  <si>
    <t>–101.895547°</t>
  </si>
  <si>
    <t>Reagan</t>
  </si>
  <si>
    <t>–101.513901°</t>
  </si>
  <si>
    <t>Real</t>
  </si>
  <si>
    <t>–99.805303°</t>
  </si>
  <si>
    <t>–95.048429°</t>
  </si>
  <si>
    <t>Reeves</t>
  </si>
  <si>
    <t>–103.712706°</t>
  </si>
  <si>
    <t>Refugio</t>
  </si>
  <si>
    <t>–97.160479°</t>
  </si>
  <si>
    <t>–100.807555°</t>
  </si>
  <si>
    <t>–96.514941°</t>
  </si>
  <si>
    <t>Rockwall</t>
  </si>
  <si>
    <t>–96.407501°</t>
  </si>
  <si>
    <t>Runnels</t>
  </si>
  <si>
    <t>–99.967856°</t>
  </si>
  <si>
    <t>Rusk</t>
  </si>
  <si>
    <t>–94.756382°</t>
  </si>
  <si>
    <t>–93.851913°</t>
  </si>
  <si>
    <t>San Augustine</t>
  </si>
  <si>
    <t>–94.163180°</t>
  </si>
  <si>
    <t>San Jacinto</t>
  </si>
  <si>
    <t>–95.162852°</t>
  </si>
  <si>
    <t>San Patricio</t>
  </si>
  <si>
    <t>–97.517165°</t>
  </si>
  <si>
    <t>San Saba</t>
  </si>
  <si>
    <t>–98.819292°</t>
  </si>
  <si>
    <t>Schleicher</t>
  </si>
  <si>
    <t>–100.527216°</t>
  </si>
  <si>
    <t>Scurry</t>
  </si>
  <si>
    <t>–100.913399°</t>
  </si>
  <si>
    <t>Shackelford</t>
  </si>
  <si>
    <t>–99.347045°</t>
  </si>
  <si>
    <t>–94.142565°</t>
  </si>
  <si>
    <t>–101.894716°</t>
  </si>
  <si>
    <t>–95.269630°</t>
  </si>
  <si>
    <t>Somervell</t>
  </si>
  <si>
    <t>–97.769211°</t>
  </si>
  <si>
    <t>Starr</t>
  </si>
  <si>
    <t>–98.715803°</t>
  </si>
  <si>
    <t>–98.840081°</t>
  </si>
  <si>
    <t>Sterling</t>
  </si>
  <si>
    <t>–101.054911°</t>
  </si>
  <si>
    <t>Stonewall</t>
  </si>
  <si>
    <t>–100.253807°</t>
  </si>
  <si>
    <t>Sutton</t>
  </si>
  <si>
    <t>–100.505395°</t>
  </si>
  <si>
    <t>Swisher</t>
  </si>
  <si>
    <t>–101.732852°</t>
  </si>
  <si>
    <t>Tarrant</t>
  </si>
  <si>
    <t>–97.291291°</t>
  </si>
  <si>
    <t>–99.893220°</t>
  </si>
  <si>
    <t>–102.072539°</t>
  </si>
  <si>
    <t>Terry</t>
  </si>
  <si>
    <t>–102.339284°</t>
  </si>
  <si>
    <t>Throckmorton</t>
  </si>
  <si>
    <t>–99.206137°</t>
  </si>
  <si>
    <t>Titus</t>
  </si>
  <si>
    <t>–94.966783°</t>
  </si>
  <si>
    <t>Tom Green</t>
  </si>
  <si>
    <t>–100.461355°</t>
  </si>
  <si>
    <t>Travis</t>
  </si>
  <si>
    <t>–97.691270°</t>
  </si>
  <si>
    <t>–95.153291°</t>
  </si>
  <si>
    <t>Tyler</t>
  </si>
  <si>
    <t>–94.379449°</t>
  </si>
  <si>
    <t>Upshur</t>
  </si>
  <si>
    <t>–94.941649°</t>
  </si>
  <si>
    <t>Upton</t>
  </si>
  <si>
    <t>–102.042013°</t>
  </si>
  <si>
    <t>Uvalde</t>
  </si>
  <si>
    <t>–99.761074°</t>
  </si>
  <si>
    <t>Val Verde</t>
  </si>
  <si>
    <t>–101.146646°</t>
  </si>
  <si>
    <t>Van Zandt</t>
  </si>
  <si>
    <t>–95.836391°</t>
  </si>
  <si>
    <t>Victoria</t>
  </si>
  <si>
    <t>–96.971198°</t>
  </si>
  <si>
    <t>–95.569888°</t>
  </si>
  <si>
    <t>Waller</t>
  </si>
  <si>
    <t>–95.982102°</t>
  </si>
  <si>
    <t>–103.105113°</t>
  </si>
  <si>
    <t>–96.410272°</t>
  </si>
  <si>
    <t>Webb</t>
  </si>
  <si>
    <t>–99.326641°</t>
  </si>
  <si>
    <t>Wharton</t>
  </si>
  <si>
    <t>–96.229675°</t>
  </si>
  <si>
    <t>–100.253107°</t>
  </si>
  <si>
    <t>–98.716851°</t>
  </si>
  <si>
    <t>Wilbarger</t>
  </si>
  <si>
    <t>–99.242440°</t>
  </si>
  <si>
    <t>Willacy</t>
  </si>
  <si>
    <t>–97.584224°</t>
  </si>
  <si>
    <t>–97.605069°</t>
  </si>
  <si>
    <t>–98.085899°</t>
  </si>
  <si>
    <t>Winkler</t>
  </si>
  <si>
    <t>–103.055986°</t>
  </si>
  <si>
    <t>Wise</t>
  </si>
  <si>
    <t>–97.653997°</t>
  </si>
  <si>
    <t>–95.382166°</t>
  </si>
  <si>
    <t>Yoakum</t>
  </si>
  <si>
    <t>–102.823771°</t>
  </si>
  <si>
    <t>Young</t>
  </si>
  <si>
    <t>–98.678267°</t>
  </si>
  <si>
    <t>Zapata</t>
  </si>
  <si>
    <t>–99.182603°</t>
  </si>
  <si>
    <t>Zavala</t>
  </si>
  <si>
    <t>–99.759830°</t>
  </si>
  <si>
    <t>UT</t>
  </si>
  <si>
    <t>–113.238948°</t>
  </si>
  <si>
    <t>Box Elder</t>
  </si>
  <si>
    <t>–113.052922°</t>
  </si>
  <si>
    <t>Cache</t>
  </si>
  <si>
    <t>–111.744581°</t>
  </si>
  <si>
    <t>–110.590357°</t>
  </si>
  <si>
    <t>Daggett</t>
  </si>
  <si>
    <t>–109.505786°</t>
  </si>
  <si>
    <t>–112.202123°</t>
  </si>
  <si>
    <t>Duchesne</t>
  </si>
  <si>
    <t>–110.429830°</t>
  </si>
  <si>
    <t>Emery</t>
  </si>
  <si>
    <t>–110.721111°</t>
  </si>
  <si>
    <t>–111.450886°</t>
  </si>
  <si>
    <t>–109.573450°</t>
  </si>
  <si>
    <t>–113.290059°</t>
  </si>
  <si>
    <t>Juab</t>
  </si>
  <si>
    <t>–112.794262°</t>
  </si>
  <si>
    <t>–111.815413°</t>
  </si>
  <si>
    <t>Millard</t>
  </si>
  <si>
    <t>–113.525014°</t>
  </si>
  <si>
    <t>–111.577885°</t>
  </si>
  <si>
    <t>Piute</t>
  </si>
  <si>
    <t>–112.129376°</t>
  </si>
  <si>
    <t>Rich</t>
  </si>
  <si>
    <t>–111.240227°</t>
  </si>
  <si>
    <t>Salt Lake</t>
  </si>
  <si>
    <t>–111.924244°</t>
  </si>
  <si>
    <t>–109.789320°</t>
  </si>
  <si>
    <t>Sanpete</t>
  </si>
  <si>
    <t>–111.570451°</t>
  </si>
  <si>
    <t>–111.811930°</t>
  </si>
  <si>
    <t>–110.968486°</t>
  </si>
  <si>
    <t>Tooele</t>
  </si>
  <si>
    <t>–113.124015°</t>
  </si>
  <si>
    <t>Uintah</t>
  </si>
  <si>
    <t>–109.517748°</t>
  </si>
  <si>
    <t>Utah</t>
  </si>
  <si>
    <t>–111.668667°</t>
  </si>
  <si>
    <t>Wasatch</t>
  </si>
  <si>
    <t>–111.161568°</t>
  </si>
  <si>
    <t>–113.487800°</t>
  </si>
  <si>
    <t>–110.990323°</t>
  </si>
  <si>
    <t>Weber</t>
  </si>
  <si>
    <t>–111.875879°</t>
  </si>
  <si>
    <t>VT</t>
  </si>
  <si>
    <t>Addison</t>
  </si>
  <si>
    <t>–73.141581°</t>
  </si>
  <si>
    <t>Bennington</t>
  </si>
  <si>
    <t>–73.111460°</t>
  </si>
  <si>
    <t>Caledonia</t>
  </si>
  <si>
    <t>–72.112168°</t>
  </si>
  <si>
    <t>Chittenden</t>
  </si>
  <si>
    <t>–73.070525°</t>
  </si>
  <si>
    <t>–71.732736°</t>
  </si>
  <si>
    <t>–72.909402°</t>
  </si>
  <si>
    <t>Grand Isle</t>
  </si>
  <si>
    <t>–73.300758°</t>
  </si>
  <si>
    <t>Lamoille</t>
  </si>
  <si>
    <t>–72.638356°</t>
  </si>
  <si>
    <t>–72.369687°</t>
  </si>
  <si>
    <t>–72.251630°</t>
  </si>
  <si>
    <t>Rutland</t>
  </si>
  <si>
    <t>–73.038196°</t>
  </si>
  <si>
    <t>–72.609475°</t>
  </si>
  <si>
    <t>Windham</t>
  </si>
  <si>
    <t>–72.716335°</t>
  </si>
  <si>
    <t>Windsor</t>
  </si>
  <si>
    <t>–72.591515°</t>
  </si>
  <si>
    <t>VA</t>
  </si>
  <si>
    <t>Accomack</t>
  </si>
  <si>
    <t>–75.757807°</t>
  </si>
  <si>
    <t>Albemarle</t>
  </si>
  <si>
    <t>–78.553506°</t>
  </si>
  <si>
    <t>–80.008669°</t>
  </si>
  <si>
    <t>Amelia</t>
  </si>
  <si>
    <t>–77.973218°</t>
  </si>
  <si>
    <t>Amherst</t>
  </si>
  <si>
    <t>–79.147848°</t>
  </si>
  <si>
    <t>Appomattox</t>
  </si>
  <si>
    <t>–78.810940°</t>
  </si>
  <si>
    <t>Arlington</t>
  </si>
  <si>
    <t>–77.100703°</t>
  </si>
  <si>
    <t>Augusta</t>
  </si>
  <si>
    <t>–79.146682°</t>
  </si>
  <si>
    <t>–79.732898°</t>
  </si>
  <si>
    <t>–79.527947°</t>
  </si>
  <si>
    <t>Bland</t>
  </si>
  <si>
    <t>–81.125853°</t>
  </si>
  <si>
    <t>Botetourt</t>
  </si>
  <si>
    <t>–79.805318°</t>
  </si>
  <si>
    <t>–77.860916°</t>
  </si>
  <si>
    <t>–82.038151°</t>
  </si>
  <si>
    <t>Buckingham</t>
  </si>
  <si>
    <t>–78.529169°</t>
  </si>
  <si>
    <t>–79.095429°</t>
  </si>
  <si>
    <t>–77.352348°</t>
  </si>
  <si>
    <t>–80.728043°</t>
  </si>
  <si>
    <t>Charles City</t>
  </si>
  <si>
    <t>–77.054171°</t>
  </si>
  <si>
    <t>–78.661424°</t>
  </si>
  <si>
    <t>–77.585847°</t>
  </si>
  <si>
    <t>–77.992004°</t>
  </si>
  <si>
    <t>–80.231734°</t>
  </si>
  <si>
    <t>Culpeper</t>
  </si>
  <si>
    <t>–77.956476°</t>
  </si>
  <si>
    <t>–78.252836°</t>
  </si>
  <si>
    <t>Dickenson</t>
  </si>
  <si>
    <t>–82.349208°</t>
  </si>
  <si>
    <t>Dinwiddie</t>
  </si>
  <si>
    <t>–77.635492°</t>
  </si>
  <si>
    <t>–76.941871°</t>
  </si>
  <si>
    <t>Fairfax</t>
  </si>
  <si>
    <t>–77.276117°</t>
  </si>
  <si>
    <t>Fauquier</t>
  </si>
  <si>
    <t>–77.821585°</t>
  </si>
  <si>
    <t>–80.350309°</t>
  </si>
  <si>
    <t>Fluvanna</t>
  </si>
  <si>
    <t>–78.284445°</t>
  </si>
  <si>
    <t>–79.883959°</t>
  </si>
  <si>
    <t>–78.263916°</t>
  </si>
  <si>
    <t>–80.717178°</t>
  </si>
  <si>
    <t>–76.523505°</t>
  </si>
  <si>
    <t>Goochland</t>
  </si>
  <si>
    <t>–77.914273°</t>
  </si>
  <si>
    <t>–81.225337°</t>
  </si>
  <si>
    <t>–78.470163°</t>
  </si>
  <si>
    <t>Greensville</t>
  </si>
  <si>
    <t>–77.560261°</t>
  </si>
  <si>
    <t>–78.939614°</t>
  </si>
  <si>
    <t>Hanover</t>
  </si>
  <si>
    <t>–77.490992°</t>
  </si>
  <si>
    <t>Henrico</t>
  </si>
  <si>
    <t>–77.300333°</t>
  </si>
  <si>
    <t>–79.980584°</t>
  </si>
  <si>
    <t>–79.567958°</t>
  </si>
  <si>
    <t>Isle of Wight</t>
  </si>
  <si>
    <t>–76.707569°</t>
  </si>
  <si>
    <t>James City</t>
  </si>
  <si>
    <t>–76.778319°</t>
  </si>
  <si>
    <t>King and Queen</t>
  </si>
  <si>
    <t>–76.891090°</t>
  </si>
  <si>
    <t>King George</t>
  </si>
  <si>
    <t>–77.162702°</t>
  </si>
  <si>
    <t>King William</t>
  </si>
  <si>
    <t>–77.091054°</t>
  </si>
  <si>
    <t>–76.413199°</t>
  </si>
  <si>
    <t>–83.130334°</t>
  </si>
  <si>
    <t>Loudoun</t>
  </si>
  <si>
    <t>–77.638857°</t>
  </si>
  <si>
    <t>–77.959178°</t>
  </si>
  <si>
    <t>Lunenburg</t>
  </si>
  <si>
    <t>–78.242313°</t>
  </si>
  <si>
    <t>–78.276961°</t>
  </si>
  <si>
    <t>Mathews</t>
  </si>
  <si>
    <t>–76.268808°</t>
  </si>
  <si>
    <t>–78.368959°</t>
  </si>
  <si>
    <t>–76.527958°</t>
  </si>
  <si>
    <t>–80.387314°</t>
  </si>
  <si>
    <t>–78.879394°</t>
  </si>
  <si>
    <t>New Kent</t>
  </si>
  <si>
    <t>–76.993339°</t>
  </si>
  <si>
    <t>–75.923868°</t>
  </si>
  <si>
    <t>–76.379687°</t>
  </si>
  <si>
    <t>Nottoway</t>
  </si>
  <si>
    <t>–78.052162°</t>
  </si>
  <si>
    <t>–78.009980°</t>
  </si>
  <si>
    <t>–78.490471°</t>
  </si>
  <si>
    <t>Patrick</t>
  </si>
  <si>
    <t>–80.286141°</t>
  </si>
  <si>
    <t>Pittsylvania</t>
  </si>
  <si>
    <t>–79.398502°</t>
  </si>
  <si>
    <t>Powhatan</t>
  </si>
  <si>
    <t>–77.912855°</t>
  </si>
  <si>
    <t>Prince Edward</t>
  </si>
  <si>
    <t>–78.432957°</t>
  </si>
  <si>
    <t>Prince George</t>
  </si>
  <si>
    <t>–77.220993°</t>
  </si>
  <si>
    <t>Prince William</t>
  </si>
  <si>
    <t>–77.478887°</t>
  </si>
  <si>
    <t>–80.713444°</t>
  </si>
  <si>
    <t>Rappahannock</t>
  </si>
  <si>
    <t>–78.168824°</t>
  </si>
  <si>
    <t>–76.730561°</t>
  </si>
  <si>
    <t>Roanoke</t>
  </si>
  <si>
    <t>–80.190110°</t>
  </si>
  <si>
    <t>Rockbridge</t>
  </si>
  <si>
    <t>–79.447754°</t>
  </si>
  <si>
    <t>–78.876307°</t>
  </si>
  <si>
    <t>–82.095934°</t>
  </si>
  <si>
    <t>–82.613627°</t>
  </si>
  <si>
    <t>Shenandoah</t>
  </si>
  <si>
    <t>–78.573987°</t>
  </si>
  <si>
    <t>Smyth</t>
  </si>
  <si>
    <t>–81.539786°</t>
  </si>
  <si>
    <t>Southampton</t>
  </si>
  <si>
    <t>–77.103856°</t>
  </si>
  <si>
    <t>Spotsylvania</t>
  </si>
  <si>
    <t>–77.656280°</t>
  </si>
  <si>
    <t>–77.459043°</t>
  </si>
  <si>
    <t>–76.880172°</t>
  </si>
  <si>
    <t>–77.259732°</t>
  </si>
  <si>
    <t>–81.562924°</t>
  </si>
  <si>
    <t>–78.207131°</t>
  </si>
  <si>
    <t>–81.950291°</t>
  </si>
  <si>
    <t>–76.804170°</t>
  </si>
  <si>
    <t>–82.621560°</t>
  </si>
  <si>
    <t>Wythe</t>
  </si>
  <si>
    <t>–81.084209°</t>
  </si>
  <si>
    <t>–76.395533°</t>
  </si>
  <si>
    <t>Alexandria [9]</t>
  </si>
  <si>
    <t>–77.082026°</t>
  </si>
  <si>
    <t>Bedford [9]</t>
  </si>
  <si>
    <t>–79.520705°</t>
  </si>
  <si>
    <t>Bristol [9]</t>
  </si>
  <si>
    <t>–82.157564°</t>
  </si>
  <si>
    <t>Buena Vista [9]</t>
  </si>
  <si>
    <t>–79.356375°</t>
  </si>
  <si>
    <t>Charlottesville [9]</t>
  </si>
  <si>
    <t>–78.485381°</t>
  </si>
  <si>
    <t>Chesapeake [9]</t>
  </si>
  <si>
    <t>–76.301788°</t>
  </si>
  <si>
    <t>Colonial Heights [9]</t>
  </si>
  <si>
    <t>–77.396804°</t>
  </si>
  <si>
    <t>Covington [9]</t>
  </si>
  <si>
    <t>–79.986039°</t>
  </si>
  <si>
    <t>Danville [9]</t>
  </si>
  <si>
    <t>–79.408071°</t>
  </si>
  <si>
    <t>Emporia [9]</t>
  </si>
  <si>
    <t>–77.535975°</t>
  </si>
  <si>
    <t>Fairfax [9]</t>
  </si>
  <si>
    <t>–77.299025°</t>
  </si>
  <si>
    <t>Falls Church [9]</t>
  </si>
  <si>
    <t>–77.174639°</t>
  </si>
  <si>
    <t>Franklin [9]</t>
  </si>
  <si>
    <t>–76.941396°</t>
  </si>
  <si>
    <t>Fredericksburg [9]</t>
  </si>
  <si>
    <t>–77.486658°</t>
  </si>
  <si>
    <t>Galax [9]</t>
  </si>
  <si>
    <t>–80.914308°</t>
  </si>
  <si>
    <t>Hampton [9]</t>
  </si>
  <si>
    <t>–76.297149°</t>
  </si>
  <si>
    <t>Harrisonburg [9]</t>
  </si>
  <si>
    <t>–78.874197°</t>
  </si>
  <si>
    <t>Hopewell [9]</t>
  </si>
  <si>
    <t>–77.298944°</t>
  </si>
  <si>
    <t>Lexington [9]</t>
  </si>
  <si>
    <t>–79.444320°</t>
  </si>
  <si>
    <t>Lynchburg [9]</t>
  </si>
  <si>
    <t>–79.195458°</t>
  </si>
  <si>
    <t>Manassas [9]</t>
  </si>
  <si>
    <t>–77.484727°</t>
  </si>
  <si>
    <t>Manassas Park [9]</t>
  </si>
  <si>
    <t>–77.448681°</t>
  </si>
  <si>
    <t>Martinsville [9]</t>
  </si>
  <si>
    <t>–79.863648°</t>
  </si>
  <si>
    <t>Newport News [9]</t>
  </si>
  <si>
    <t>–76.521719°</t>
  </si>
  <si>
    <t>Norfolk [9]</t>
  </si>
  <si>
    <t>–76.244641°</t>
  </si>
  <si>
    <t>Norton [9]</t>
  </si>
  <si>
    <t>–82.625996°</t>
  </si>
  <si>
    <t>Petersburg [9]</t>
  </si>
  <si>
    <t>–77.392368°</t>
  </si>
  <si>
    <t>Poquoson [9]</t>
  </si>
  <si>
    <t>–76.303534°</t>
  </si>
  <si>
    <t>Portsmouth [9]</t>
  </si>
  <si>
    <t>–76.356269°</t>
  </si>
  <si>
    <t>Radford [9]</t>
  </si>
  <si>
    <t>–80.557048°</t>
  </si>
  <si>
    <t>Richmond [9]</t>
  </si>
  <si>
    <t>–77.476009°</t>
  </si>
  <si>
    <t>Roanoke [9]</t>
  </si>
  <si>
    <t>–79.958472°</t>
  </si>
  <si>
    <t>Salem [9]</t>
  </si>
  <si>
    <t>–80.055241°</t>
  </si>
  <si>
    <t>Staunton [9]</t>
  </si>
  <si>
    <t>–79.061501°</t>
  </si>
  <si>
    <t>Suffolk [9]</t>
  </si>
  <si>
    <t>–76.634781°</t>
  </si>
  <si>
    <t>Virginia Beach [9]</t>
  </si>
  <si>
    <t>–76.024020°</t>
  </si>
  <si>
    <t>Waynesboro [9]</t>
  </si>
  <si>
    <t>–78.901420°</t>
  </si>
  <si>
    <t>Williamsburg [9]</t>
  </si>
  <si>
    <t>–76.706717°</t>
  </si>
  <si>
    <t>Winchester [9]</t>
  </si>
  <si>
    <t>–78.176356°</t>
  </si>
  <si>
    <t>WA</t>
  </si>
  <si>
    <t>–118.533308°</t>
  </si>
  <si>
    <t>Asotin</t>
  </si>
  <si>
    <t>–117.227781°</t>
  </si>
  <si>
    <t>–119.516864°</t>
  </si>
  <si>
    <t>Chelan</t>
  </si>
  <si>
    <t>–120.618543°</t>
  </si>
  <si>
    <t>Clallam</t>
  </si>
  <si>
    <t>–123.930611°</t>
  </si>
  <si>
    <t>–122.485903°</t>
  </si>
  <si>
    <t>–117.911635°</t>
  </si>
  <si>
    <t>Cowlitz</t>
  </si>
  <si>
    <t>–122.658682°</t>
  </si>
  <si>
    <t>–119.695880°</t>
  </si>
  <si>
    <t>Ferry</t>
  </si>
  <si>
    <t>–118.517074°</t>
  </si>
  <si>
    <t>–118.906944°</t>
  </si>
  <si>
    <t>–117.536715°</t>
  </si>
  <si>
    <t>–119.467788°</t>
  </si>
  <si>
    <t>Grays Harbor</t>
  </si>
  <si>
    <t>–123.827043°</t>
  </si>
  <si>
    <t>Island</t>
  </si>
  <si>
    <t>–122.670503°</t>
  </si>
  <si>
    <t>–123.521810°</t>
  </si>
  <si>
    <t>–121.832375°</t>
  </si>
  <si>
    <t>Kitsap</t>
  </si>
  <si>
    <t>–122.649636°</t>
  </si>
  <si>
    <t>Kittitas</t>
  </si>
  <si>
    <t>–120.676714°</t>
  </si>
  <si>
    <t>Klickitat</t>
  </si>
  <si>
    <t>–120.780117°</t>
  </si>
  <si>
    <t>–122.377444°</t>
  </si>
  <si>
    <t>–118.417668°</t>
  </si>
  <si>
    <t>–123.173850°</t>
  </si>
  <si>
    <t>Okanogan</t>
  </si>
  <si>
    <t>–119.691035°</t>
  </si>
  <si>
    <t>Pacific</t>
  </si>
  <si>
    <t>–123.782419°</t>
  </si>
  <si>
    <t>Pend Oreille</t>
  </si>
  <si>
    <t>–117.232183°</t>
  </si>
  <si>
    <t>–122.144709°</t>
  </si>
  <si>
    <t>–123.100616°</t>
  </si>
  <si>
    <t>Skagit</t>
  </si>
  <si>
    <t>–121.816278°</t>
  </si>
  <si>
    <t>Skamania</t>
  </si>
  <si>
    <t>–121.953227°</t>
  </si>
  <si>
    <t>Snohomish</t>
  </si>
  <si>
    <t>–121.766412°</t>
  </si>
  <si>
    <t>Spokane</t>
  </si>
  <si>
    <t>–117.404392°</t>
  </si>
  <si>
    <t>–117.854897°</t>
  </si>
  <si>
    <t>–122.829441°</t>
  </si>
  <si>
    <t>Wahkiakum</t>
  </si>
  <si>
    <t>–123.424458°</t>
  </si>
  <si>
    <t>Walla Walla</t>
  </si>
  <si>
    <t>–118.480374°</t>
  </si>
  <si>
    <t>Whatcom</t>
  </si>
  <si>
    <t>–121.836433°</t>
  </si>
  <si>
    <t>Whitman</t>
  </si>
  <si>
    <t>–117.522962°</t>
  </si>
  <si>
    <t>Yakima</t>
  </si>
  <si>
    <t>–120.740145°</t>
  </si>
  <si>
    <t>WV</t>
  </si>
  <si>
    <t>–79.996914°</t>
  </si>
  <si>
    <t>–78.032338°</t>
  </si>
  <si>
    <t>–81.713314°</t>
  </si>
  <si>
    <t>Braxton</t>
  </si>
  <si>
    <t>–80.731649°</t>
  </si>
  <si>
    <t>Brooke</t>
  </si>
  <si>
    <t>–80.578691°</t>
  </si>
  <si>
    <t>Cabell</t>
  </si>
  <si>
    <t>–82.243392°</t>
  </si>
  <si>
    <t>–81.115478°</t>
  </si>
  <si>
    <t>–81.081866°</t>
  </si>
  <si>
    <t>Doddridge</t>
  </si>
  <si>
    <t>–80.701147°</t>
  </si>
  <si>
    <t>–81.086051°</t>
  </si>
  <si>
    <t>–80.849409°</t>
  </si>
  <si>
    <t>–79.195064°</t>
  </si>
  <si>
    <t>Greenbrier</t>
  </si>
  <si>
    <t>–80.450590°</t>
  </si>
  <si>
    <t>–78.611989°</t>
  </si>
  <si>
    <t>–80.570057°</t>
  </si>
  <si>
    <t>Hardy</t>
  </si>
  <si>
    <t>–78.843641°</t>
  </si>
  <si>
    <t>–80.386487°</t>
  </si>
  <si>
    <t>–81.677717°</t>
  </si>
  <si>
    <t>–77.863220°</t>
  </si>
  <si>
    <t>Kanawha</t>
  </si>
  <si>
    <t>–81.523522°</t>
  </si>
  <si>
    <t>–80.495518°</t>
  </si>
  <si>
    <t>–82.077547°</t>
  </si>
  <si>
    <t>–81.940853°</t>
  </si>
  <si>
    <t>–81.658205°</t>
  </si>
  <si>
    <t>–80.243402°</t>
  </si>
  <si>
    <t>–80.671378°</t>
  </si>
  <si>
    <t>–82.024172°</t>
  </si>
  <si>
    <t>–81.106456°</t>
  </si>
  <si>
    <t>–78.956581°</t>
  </si>
  <si>
    <t>Mingo</t>
  </si>
  <si>
    <t>–82.158993°</t>
  </si>
  <si>
    <t>Monongalia</t>
  </si>
  <si>
    <t>–80.059074°</t>
  </si>
  <si>
    <t>–80.547891°</t>
  </si>
  <si>
    <t>–78.257314°</t>
  </si>
  <si>
    <t>–80.797516°</t>
  </si>
  <si>
    <t>–80.620728°</t>
  </si>
  <si>
    <t>–79.333707°</t>
  </si>
  <si>
    <t>Pleasants</t>
  </si>
  <si>
    <t>–81.161172°</t>
  </si>
  <si>
    <t>–80.012092°</t>
  </si>
  <si>
    <t>Preston</t>
  </si>
  <si>
    <t>–79.668865°</t>
  </si>
  <si>
    <t>–81.906109°</t>
  </si>
  <si>
    <t>Raleigh</t>
  </si>
  <si>
    <t>–81.264671°</t>
  </si>
  <si>
    <t>–79.867783°</t>
  </si>
  <si>
    <t>Ritchie</t>
  </si>
  <si>
    <t>–81.066317°</t>
  </si>
  <si>
    <t>–81.354502°</t>
  </si>
  <si>
    <t>Summers</t>
  </si>
  <si>
    <t>–80.856315°</t>
  </si>
  <si>
    <t>–80.045629°</t>
  </si>
  <si>
    <t>Tucker</t>
  </si>
  <si>
    <t>–79.559968°</t>
  </si>
  <si>
    <t>–80.879493°</t>
  </si>
  <si>
    <t>–80.231335°</t>
  </si>
  <si>
    <t>–82.419698°</t>
  </si>
  <si>
    <t>–80.430262°</t>
  </si>
  <si>
    <t>Wetzel</t>
  </si>
  <si>
    <t>–80.634394°</t>
  </si>
  <si>
    <t>Wirt</t>
  </si>
  <si>
    <t>–81.382975°</t>
  </si>
  <si>
    <t>–81.515928°</t>
  </si>
  <si>
    <t>–81.548884°</t>
  </si>
  <si>
    <t>WI</t>
  </si>
  <si>
    <t>–89.767223°</t>
  </si>
  <si>
    <t>–90.665154°</t>
  </si>
  <si>
    <t>Barron</t>
  </si>
  <si>
    <t>–91.852892°</t>
  </si>
  <si>
    <t>Bayfield</t>
  </si>
  <si>
    <t>–91.177282°</t>
  </si>
  <si>
    <t>–87.995926°</t>
  </si>
  <si>
    <t>–91.758714°</t>
  </si>
  <si>
    <t>Burnett</t>
  </si>
  <si>
    <t>–92.367978°</t>
  </si>
  <si>
    <t>Calumet</t>
  </si>
  <si>
    <t>–88.212132°</t>
  </si>
  <si>
    <t>–91.283505°</t>
  </si>
  <si>
    <t>–90.610201°</t>
  </si>
  <si>
    <t>–89.330472°</t>
  </si>
  <si>
    <t>–90.951230°</t>
  </si>
  <si>
    <t>Dane</t>
  </si>
  <si>
    <t>–89.417852°</t>
  </si>
  <si>
    <t>–88.704379°</t>
  </si>
  <si>
    <t>Door</t>
  </si>
  <si>
    <t>–87.087936°</t>
  </si>
  <si>
    <t>–91.892580°</t>
  </si>
  <si>
    <t>–91.897720°</t>
  </si>
  <si>
    <t>Eau Claire</t>
  </si>
  <si>
    <t>–91.286414°</t>
  </si>
  <si>
    <t>–88.400322°</t>
  </si>
  <si>
    <t>Fond du Lac</t>
  </si>
  <si>
    <t>–88.493284°</t>
  </si>
  <si>
    <t>–88.773225°</t>
  </si>
  <si>
    <t>–90.695368°</t>
  </si>
  <si>
    <t>–89.605639°</t>
  </si>
  <si>
    <t>Green Lake</t>
  </si>
  <si>
    <t>–88.987228°</t>
  </si>
  <si>
    <t>–90.133692°</t>
  </si>
  <si>
    <t>–90.261299°</t>
  </si>
  <si>
    <t>–90.806541°</t>
  </si>
  <si>
    <t>–88.773986°</t>
  </si>
  <si>
    <t>–90.113984°</t>
  </si>
  <si>
    <t>Kenosha</t>
  </si>
  <si>
    <t>–87.424898°</t>
  </si>
  <si>
    <t>Kewaunee</t>
  </si>
  <si>
    <t>–87.161813°</t>
  </si>
  <si>
    <t>La Crosse</t>
  </si>
  <si>
    <t>–91.111758°</t>
  </si>
  <si>
    <t>–90.130292°</t>
  </si>
  <si>
    <t>Langlade</t>
  </si>
  <si>
    <t>–89.068190°</t>
  </si>
  <si>
    <t>–89.742082°</t>
  </si>
  <si>
    <t>Manitowoc</t>
  </si>
  <si>
    <t>–87.313828°</t>
  </si>
  <si>
    <t>Marathon</t>
  </si>
  <si>
    <t>–89.757823°</t>
  </si>
  <si>
    <t>Marinette</t>
  </si>
  <si>
    <t>–87.991198°</t>
  </si>
  <si>
    <t>–89.409095°</t>
  </si>
  <si>
    <t>–88.669251°</t>
  </si>
  <si>
    <t>Milwaukee</t>
  </si>
  <si>
    <t>–87.481575°</t>
  </si>
  <si>
    <t>–90.619969°</t>
  </si>
  <si>
    <t>Oconto</t>
  </si>
  <si>
    <t>–88.206516°</t>
  </si>
  <si>
    <t>–89.536693°</t>
  </si>
  <si>
    <t>Outagamie</t>
  </si>
  <si>
    <t>–88.464988°</t>
  </si>
  <si>
    <t>Ozaukee</t>
  </si>
  <si>
    <t>–87.496553°</t>
  </si>
  <si>
    <t>Pepin</t>
  </si>
  <si>
    <t>–91.834890°</t>
  </si>
  <si>
    <t>–92.426279°</t>
  </si>
  <si>
    <t>–92.453154°</t>
  </si>
  <si>
    <t>–89.498070°</t>
  </si>
  <si>
    <t>Price</t>
  </si>
  <si>
    <t>–90.359650°</t>
  </si>
  <si>
    <t>Racine</t>
  </si>
  <si>
    <t>–87.414676°</t>
  </si>
  <si>
    <t>–90.435693°</t>
  </si>
  <si>
    <t>–89.075119°</t>
  </si>
  <si>
    <t>–91.136745°</t>
  </si>
  <si>
    <t>St. Croix</t>
  </si>
  <si>
    <t>–92.447284°</t>
  </si>
  <si>
    <t>Sauk</t>
  </si>
  <si>
    <t>–89.943329°</t>
  </si>
  <si>
    <t>Sawyer</t>
  </si>
  <si>
    <t>–91.147130°</t>
  </si>
  <si>
    <t>Shawano</t>
  </si>
  <si>
    <t>–88.755813°</t>
  </si>
  <si>
    <t>Sheboygan</t>
  </si>
  <si>
    <t>–87.730546°</t>
  </si>
  <si>
    <t>–90.504853°</t>
  </si>
  <si>
    <t>Trempealeau</t>
  </si>
  <si>
    <t>–91.358867°</t>
  </si>
  <si>
    <t>–90.815226°</t>
  </si>
  <si>
    <t>Vilas</t>
  </si>
  <si>
    <t>–89.501254°</t>
  </si>
  <si>
    <t>–88.541731°</t>
  </si>
  <si>
    <t>Washburn</t>
  </si>
  <si>
    <t>–91.796423°</t>
  </si>
  <si>
    <t>–88.232917°</t>
  </si>
  <si>
    <t>Waukesha</t>
  </si>
  <si>
    <t>–88.306707°</t>
  </si>
  <si>
    <t>Waupaca</t>
  </si>
  <si>
    <t>–88.967006°</t>
  </si>
  <si>
    <t>Waushara</t>
  </si>
  <si>
    <t>–89.239752°</t>
  </si>
  <si>
    <t>–88.668149°</t>
  </si>
  <si>
    <t>–90.038825°</t>
  </si>
  <si>
    <t>WY</t>
  </si>
  <si>
    <t>–105.721883°</t>
  </si>
  <si>
    <t>–107.993321°</t>
  </si>
  <si>
    <t>–105.552029°</t>
  </si>
  <si>
    <t>–106.933153°</t>
  </si>
  <si>
    <t>Converse</t>
  </si>
  <si>
    <t>–105.507367°</t>
  </si>
  <si>
    <t>–104.567298°</t>
  </si>
  <si>
    <t>–108.605531°</t>
  </si>
  <si>
    <t>Goshen</t>
  </si>
  <si>
    <t>–104.353482°</t>
  </si>
  <si>
    <t>Hot Springs</t>
  </si>
  <si>
    <t>–108.435652°</t>
  </si>
  <si>
    <t>–106.588541°</t>
  </si>
  <si>
    <t>Laramie</t>
  </si>
  <si>
    <t>–104.660395°</t>
  </si>
  <si>
    <t>–110.679842°</t>
  </si>
  <si>
    <t>Natrona</t>
  </si>
  <si>
    <t>–106.764877°</t>
  </si>
  <si>
    <t>Niobrara</t>
  </si>
  <si>
    <t>–104.468373°</t>
  </si>
  <si>
    <t>–109.593598°</t>
  </si>
  <si>
    <t>–104.960809°</t>
  </si>
  <si>
    <t>–106.881211°</t>
  </si>
  <si>
    <t>Sublette</t>
  </si>
  <si>
    <t>–109.916170°</t>
  </si>
  <si>
    <t>Sweetwater</t>
  </si>
  <si>
    <t>–108.875676°</t>
  </si>
  <si>
    <t>–110.588102°</t>
  </si>
  <si>
    <t>Uinta</t>
  </si>
  <si>
    <t>–110.558947°</t>
  </si>
  <si>
    <t>Washakie</t>
  </si>
  <si>
    <t>–107.669052°</t>
  </si>
  <si>
    <t>Weston</t>
  </si>
  <si>
    <t>–104.570020°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</si>
</sst>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u/>
      <sz val="11.0"/>
      <color rgb="FF0645AD"/>
      <name val="Sans-serif"/>
    </font>
    <font>
      <b/>
      <u/>
      <sz val="11.0"/>
      <color rgb="FF202122"/>
      <name val="Sans-serif"/>
    </font>
    <font>
      <u/>
      <sz val="11.0"/>
      <color rgb="FF0645AD"/>
      <name val="Sans-serif"/>
    </font>
    <font>
      <u/>
      <sz val="11.0"/>
      <color rgb="FF0645AD"/>
      <name val="Sans-serif"/>
    </font>
    <font>
      <sz val="11.0"/>
      <color rgb="FF202122"/>
      <name val="Sans-serif"/>
    </font>
    <font>
      <sz val="11.0"/>
      <color rgb="FF2021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</fills>
  <borders count="2">
    <border/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left" readingOrder="0"/>
    </xf>
    <xf borderId="1" fillId="3" fontId="5" numFmtId="3" xfId="0" applyAlignment="1" applyBorder="1" applyFill="1" applyFont="1" applyNumberFormat="1">
      <alignment horizontal="right" readingOrder="0"/>
    </xf>
    <xf borderId="1" fillId="3" fontId="6" numFmtId="0" xfId="0" applyAlignment="1" applyBorder="1" applyFont="1">
      <alignment horizontal="right" readingOrder="0"/>
    </xf>
    <xf borderId="1" fillId="3" fontId="5" numFmtId="0" xfId="0" applyAlignment="1" applyBorder="1" applyFont="1">
      <alignment horizontal="right" readingOrder="0"/>
    </xf>
    <xf borderId="1" fillId="3" fontId="5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en.wikipedia.org/wiki/Kentucky" TargetMode="External"/><Relationship Id="rId2181" Type="http://schemas.openxmlformats.org/officeDocument/2006/relationships/hyperlink" Target="https://en.wikipedia.org/wiki/Pendleton_County,_Kentucky" TargetMode="External"/><Relationship Id="rId2182" Type="http://schemas.openxmlformats.org/officeDocument/2006/relationships/hyperlink" Target="https://en.wikipedia.org/wiki/Kentucky" TargetMode="External"/><Relationship Id="rId2183" Type="http://schemas.openxmlformats.org/officeDocument/2006/relationships/hyperlink" Target="https://en.wikipedia.org/wiki/Perry_County,_Kentucky" TargetMode="External"/><Relationship Id="rId2184" Type="http://schemas.openxmlformats.org/officeDocument/2006/relationships/hyperlink" Target="https://en.wikipedia.org/wiki/Kentucky" TargetMode="External"/><Relationship Id="rId2185" Type="http://schemas.openxmlformats.org/officeDocument/2006/relationships/hyperlink" Target="https://en.wikipedia.org/wiki/Pike_County,_Kentucky" TargetMode="External"/><Relationship Id="rId2186" Type="http://schemas.openxmlformats.org/officeDocument/2006/relationships/hyperlink" Target="https://en.wikipedia.org/wiki/Kentucky" TargetMode="External"/><Relationship Id="rId2187" Type="http://schemas.openxmlformats.org/officeDocument/2006/relationships/hyperlink" Target="https://en.wikipedia.org/wiki/Powell_County,_Kentucky" TargetMode="External"/><Relationship Id="rId2188" Type="http://schemas.openxmlformats.org/officeDocument/2006/relationships/hyperlink" Target="https://en.wikipedia.org/wiki/Kentucky" TargetMode="External"/><Relationship Id="rId2189" Type="http://schemas.openxmlformats.org/officeDocument/2006/relationships/hyperlink" Target="https://en.wikipedia.org/wiki/Pulaski_County,_Kentucky" TargetMode="External"/><Relationship Id="rId2170" Type="http://schemas.openxmlformats.org/officeDocument/2006/relationships/hyperlink" Target="https://en.wikipedia.org/wiki/Kentucky" TargetMode="External"/><Relationship Id="rId2171" Type="http://schemas.openxmlformats.org/officeDocument/2006/relationships/hyperlink" Target="https://en.wikipedia.org/wiki/Nicholas_County,_Kentucky" TargetMode="External"/><Relationship Id="rId2172" Type="http://schemas.openxmlformats.org/officeDocument/2006/relationships/hyperlink" Target="https://en.wikipedia.org/wiki/Kentucky" TargetMode="External"/><Relationship Id="rId2173" Type="http://schemas.openxmlformats.org/officeDocument/2006/relationships/hyperlink" Target="https://en.wikipedia.org/wiki/Ohio_County,_Kentucky" TargetMode="External"/><Relationship Id="rId2174" Type="http://schemas.openxmlformats.org/officeDocument/2006/relationships/hyperlink" Target="https://en.wikipedia.org/wiki/Kentucky" TargetMode="External"/><Relationship Id="rId2175" Type="http://schemas.openxmlformats.org/officeDocument/2006/relationships/hyperlink" Target="https://en.wikipedia.org/wiki/Oldham_County,_Kentucky" TargetMode="External"/><Relationship Id="rId2176" Type="http://schemas.openxmlformats.org/officeDocument/2006/relationships/hyperlink" Target="https://en.wikipedia.org/wiki/Kentucky" TargetMode="External"/><Relationship Id="rId2177" Type="http://schemas.openxmlformats.org/officeDocument/2006/relationships/hyperlink" Target="https://en.wikipedia.org/wiki/Owen_County,_Kentucky" TargetMode="External"/><Relationship Id="rId2178" Type="http://schemas.openxmlformats.org/officeDocument/2006/relationships/hyperlink" Target="https://en.wikipedia.org/wiki/Kentucky" TargetMode="External"/><Relationship Id="rId2179" Type="http://schemas.openxmlformats.org/officeDocument/2006/relationships/hyperlink" Target="https://en.wikipedia.org/wiki/Owsley_County,_Kentucky" TargetMode="External"/><Relationship Id="rId2190" Type="http://schemas.openxmlformats.org/officeDocument/2006/relationships/hyperlink" Target="https://en.wikipedia.org/wiki/Kentucky" TargetMode="External"/><Relationship Id="rId2191" Type="http://schemas.openxmlformats.org/officeDocument/2006/relationships/hyperlink" Target="https://en.wikipedia.org/wiki/Robertson_County,_Kentucky" TargetMode="External"/><Relationship Id="rId2192" Type="http://schemas.openxmlformats.org/officeDocument/2006/relationships/hyperlink" Target="https://en.wikipedia.org/wiki/Kentucky" TargetMode="External"/><Relationship Id="rId2193" Type="http://schemas.openxmlformats.org/officeDocument/2006/relationships/hyperlink" Target="https://en.wikipedia.org/wiki/Rockcastle_County,_Kentucky" TargetMode="External"/><Relationship Id="rId2194" Type="http://schemas.openxmlformats.org/officeDocument/2006/relationships/hyperlink" Target="https://en.wikipedia.org/wiki/Kentucky" TargetMode="External"/><Relationship Id="rId2195" Type="http://schemas.openxmlformats.org/officeDocument/2006/relationships/hyperlink" Target="https://en.wikipedia.org/wiki/Rowan_County,_Kentucky" TargetMode="External"/><Relationship Id="rId2196" Type="http://schemas.openxmlformats.org/officeDocument/2006/relationships/hyperlink" Target="https://en.wikipedia.org/wiki/Kentucky" TargetMode="External"/><Relationship Id="rId2197" Type="http://schemas.openxmlformats.org/officeDocument/2006/relationships/hyperlink" Target="https://en.wikipedia.org/wiki/Russell_County,_Kentucky" TargetMode="External"/><Relationship Id="rId2198" Type="http://schemas.openxmlformats.org/officeDocument/2006/relationships/hyperlink" Target="https://en.wikipedia.org/wiki/Kentucky" TargetMode="External"/><Relationship Id="rId2199" Type="http://schemas.openxmlformats.org/officeDocument/2006/relationships/hyperlink" Target="https://en.wikipedia.org/wiki/Scott_County,_Kentucky" TargetMode="External"/><Relationship Id="rId3513" Type="http://schemas.openxmlformats.org/officeDocument/2006/relationships/hyperlink" Target="https://en.wikipedia.org/wiki/Lander_County,_Nevada" TargetMode="External"/><Relationship Id="rId4844" Type="http://schemas.openxmlformats.org/officeDocument/2006/relationships/hyperlink" Target="https://en.wikipedia.org/wiki/South_Dakota" TargetMode="External"/><Relationship Id="rId3512" Type="http://schemas.openxmlformats.org/officeDocument/2006/relationships/hyperlink" Target="https://en.wikipedia.org/wiki/Nevada" TargetMode="External"/><Relationship Id="rId4843" Type="http://schemas.openxmlformats.org/officeDocument/2006/relationships/hyperlink" Target="https://en.wikipedia.org/wiki/Stanley_County,_South_Dakota" TargetMode="External"/><Relationship Id="rId3515" Type="http://schemas.openxmlformats.org/officeDocument/2006/relationships/hyperlink" Target="https://en.wikipedia.org/wiki/Lincoln_County,_Nevada" TargetMode="External"/><Relationship Id="rId4846" Type="http://schemas.openxmlformats.org/officeDocument/2006/relationships/hyperlink" Target="https://en.wikipedia.org/wiki/South_Dakota" TargetMode="External"/><Relationship Id="rId3514" Type="http://schemas.openxmlformats.org/officeDocument/2006/relationships/hyperlink" Target="https://en.wikipedia.org/wiki/Nevada" TargetMode="External"/><Relationship Id="rId4845" Type="http://schemas.openxmlformats.org/officeDocument/2006/relationships/hyperlink" Target="https://en.wikipedia.org/wiki/Sully_County,_South_Dakota" TargetMode="External"/><Relationship Id="rId3517" Type="http://schemas.openxmlformats.org/officeDocument/2006/relationships/hyperlink" Target="https://en.wikipedia.org/wiki/Lyon_County,_Nevada" TargetMode="External"/><Relationship Id="rId4848" Type="http://schemas.openxmlformats.org/officeDocument/2006/relationships/hyperlink" Target="https://en.wikipedia.org/wiki/South_Dakota" TargetMode="External"/><Relationship Id="rId3516" Type="http://schemas.openxmlformats.org/officeDocument/2006/relationships/hyperlink" Target="https://en.wikipedia.org/wiki/Nevada" TargetMode="External"/><Relationship Id="rId4847" Type="http://schemas.openxmlformats.org/officeDocument/2006/relationships/hyperlink" Target="https://en.wikipedia.org/wiki/Todd_County,_South_Dakota" TargetMode="External"/><Relationship Id="rId3519" Type="http://schemas.openxmlformats.org/officeDocument/2006/relationships/hyperlink" Target="https://en.wikipedia.org/wiki/Mineral_County,_Nevada" TargetMode="External"/><Relationship Id="rId3518" Type="http://schemas.openxmlformats.org/officeDocument/2006/relationships/hyperlink" Target="https://en.wikipedia.org/wiki/Nevada" TargetMode="External"/><Relationship Id="rId4849" Type="http://schemas.openxmlformats.org/officeDocument/2006/relationships/hyperlink" Target="https://en.wikipedia.org/wiki/Tripp_County,_South_Dakota" TargetMode="External"/><Relationship Id="rId4840" Type="http://schemas.openxmlformats.org/officeDocument/2006/relationships/hyperlink" Target="https://en.wikipedia.org/wiki/South_Dakota" TargetMode="External"/><Relationship Id="rId3511" Type="http://schemas.openxmlformats.org/officeDocument/2006/relationships/hyperlink" Target="https://en.wikipedia.org/wiki/Humboldt_County,_Nevada" TargetMode="External"/><Relationship Id="rId4842" Type="http://schemas.openxmlformats.org/officeDocument/2006/relationships/hyperlink" Target="https://en.wikipedia.org/wiki/South_Dakota" TargetMode="External"/><Relationship Id="rId3510" Type="http://schemas.openxmlformats.org/officeDocument/2006/relationships/hyperlink" Target="https://en.wikipedia.org/wiki/Nevada" TargetMode="External"/><Relationship Id="rId4841" Type="http://schemas.openxmlformats.org/officeDocument/2006/relationships/hyperlink" Target="https://en.wikipedia.org/wiki/Spink_County,_South_Dakota" TargetMode="External"/><Relationship Id="rId3502" Type="http://schemas.openxmlformats.org/officeDocument/2006/relationships/hyperlink" Target="https://en.wikipedia.org/wiki/Nevada" TargetMode="External"/><Relationship Id="rId4833" Type="http://schemas.openxmlformats.org/officeDocument/2006/relationships/hyperlink" Target="https://en.wikipedia.org/wiki/Potter_County,_South_Dakota" TargetMode="External"/><Relationship Id="rId3501" Type="http://schemas.openxmlformats.org/officeDocument/2006/relationships/hyperlink" Target="https://en.wikipedia.org/wiki/Clark_County,_Nevada" TargetMode="External"/><Relationship Id="rId4832" Type="http://schemas.openxmlformats.org/officeDocument/2006/relationships/hyperlink" Target="https://en.wikipedia.org/wiki/South_Dakota" TargetMode="External"/><Relationship Id="rId3504" Type="http://schemas.openxmlformats.org/officeDocument/2006/relationships/hyperlink" Target="https://en.wikipedia.org/wiki/Nevada" TargetMode="External"/><Relationship Id="rId4835" Type="http://schemas.openxmlformats.org/officeDocument/2006/relationships/hyperlink" Target="https://en.wikipedia.org/wiki/Roberts_County,_South_Dakota" TargetMode="External"/><Relationship Id="rId3503" Type="http://schemas.openxmlformats.org/officeDocument/2006/relationships/hyperlink" Target="https://en.wikipedia.org/wiki/Douglas_County,_Nevada" TargetMode="External"/><Relationship Id="rId4834" Type="http://schemas.openxmlformats.org/officeDocument/2006/relationships/hyperlink" Target="https://en.wikipedia.org/wiki/South_Dakota" TargetMode="External"/><Relationship Id="rId3506" Type="http://schemas.openxmlformats.org/officeDocument/2006/relationships/hyperlink" Target="https://en.wikipedia.org/wiki/Nevada" TargetMode="External"/><Relationship Id="rId4837" Type="http://schemas.openxmlformats.org/officeDocument/2006/relationships/hyperlink" Target="https://en.wikipedia.org/wiki/Sanborn_County,_South_Dakota" TargetMode="External"/><Relationship Id="rId3505" Type="http://schemas.openxmlformats.org/officeDocument/2006/relationships/hyperlink" Target="https://en.wikipedia.org/wiki/Elko_County,_Nevada" TargetMode="External"/><Relationship Id="rId4836" Type="http://schemas.openxmlformats.org/officeDocument/2006/relationships/hyperlink" Target="https://en.wikipedia.org/wiki/South_Dakota" TargetMode="External"/><Relationship Id="rId3508" Type="http://schemas.openxmlformats.org/officeDocument/2006/relationships/hyperlink" Target="https://en.wikipedia.org/wiki/Nevada" TargetMode="External"/><Relationship Id="rId4839" Type="http://schemas.openxmlformats.org/officeDocument/2006/relationships/hyperlink" Target="https://en.wikipedia.org/wiki/Oglala_Lakota_County,_South_Dakota" TargetMode="External"/><Relationship Id="rId3507" Type="http://schemas.openxmlformats.org/officeDocument/2006/relationships/hyperlink" Target="https://en.wikipedia.org/wiki/Esmeralda_County,_Nevada" TargetMode="External"/><Relationship Id="rId4838" Type="http://schemas.openxmlformats.org/officeDocument/2006/relationships/hyperlink" Target="https://en.wikipedia.org/wiki/South_Dakota" TargetMode="External"/><Relationship Id="rId3509" Type="http://schemas.openxmlformats.org/officeDocument/2006/relationships/hyperlink" Target="https://en.wikipedia.org/wiki/Eureka_County,_Nevada" TargetMode="External"/><Relationship Id="rId3500" Type="http://schemas.openxmlformats.org/officeDocument/2006/relationships/hyperlink" Target="https://en.wikipedia.org/wiki/Nevada" TargetMode="External"/><Relationship Id="rId4831" Type="http://schemas.openxmlformats.org/officeDocument/2006/relationships/hyperlink" Target="https://en.wikipedia.org/wiki/Perkins_County,_South_Dakota" TargetMode="External"/><Relationship Id="rId4830" Type="http://schemas.openxmlformats.org/officeDocument/2006/relationships/hyperlink" Target="https://en.wikipedia.org/wiki/South_Dakota" TargetMode="External"/><Relationship Id="rId2203" Type="http://schemas.openxmlformats.org/officeDocument/2006/relationships/hyperlink" Target="https://en.wikipedia.org/wiki/Simpson_County,_Kentucky" TargetMode="External"/><Relationship Id="rId3535" Type="http://schemas.openxmlformats.org/officeDocument/2006/relationships/hyperlink" Target="https://en.wikipedia.org/wiki/Carroll_County,_New_Hampshire" TargetMode="External"/><Relationship Id="rId4866" Type="http://schemas.openxmlformats.org/officeDocument/2006/relationships/hyperlink" Target="https://en.wikipedia.org/wiki/Tennessee" TargetMode="External"/><Relationship Id="rId2204" Type="http://schemas.openxmlformats.org/officeDocument/2006/relationships/hyperlink" Target="https://en.wikipedia.org/wiki/Kentucky" TargetMode="External"/><Relationship Id="rId3534" Type="http://schemas.openxmlformats.org/officeDocument/2006/relationships/hyperlink" Target="https://en.wikipedia.org/wiki/New_Hampshire" TargetMode="External"/><Relationship Id="rId4865" Type="http://schemas.openxmlformats.org/officeDocument/2006/relationships/hyperlink" Target="https://en.wikipedia.org/wiki/Benton_County,_Tennessee" TargetMode="External"/><Relationship Id="rId2205" Type="http://schemas.openxmlformats.org/officeDocument/2006/relationships/hyperlink" Target="https://en.wikipedia.org/wiki/Spencer_County,_Kentucky" TargetMode="External"/><Relationship Id="rId3537" Type="http://schemas.openxmlformats.org/officeDocument/2006/relationships/hyperlink" Target="https://en.wikipedia.org/wiki/Cheshire_County,_New_Hampshire" TargetMode="External"/><Relationship Id="rId4868" Type="http://schemas.openxmlformats.org/officeDocument/2006/relationships/hyperlink" Target="https://en.wikipedia.org/wiki/Tennessee" TargetMode="External"/><Relationship Id="rId2206" Type="http://schemas.openxmlformats.org/officeDocument/2006/relationships/hyperlink" Target="https://en.wikipedia.org/wiki/Kentucky" TargetMode="External"/><Relationship Id="rId3536" Type="http://schemas.openxmlformats.org/officeDocument/2006/relationships/hyperlink" Target="https://en.wikipedia.org/wiki/New_Hampshire" TargetMode="External"/><Relationship Id="rId4867" Type="http://schemas.openxmlformats.org/officeDocument/2006/relationships/hyperlink" Target="https://en.wikipedia.org/wiki/Bledsoe_County,_Tennessee" TargetMode="External"/><Relationship Id="rId2207" Type="http://schemas.openxmlformats.org/officeDocument/2006/relationships/hyperlink" Target="https://en.wikipedia.org/wiki/Taylor_County,_Kentucky" TargetMode="External"/><Relationship Id="rId3539" Type="http://schemas.openxmlformats.org/officeDocument/2006/relationships/hyperlink" Target="https://en.wikipedia.org/wiki/Coos_County,_New_Hampshire" TargetMode="External"/><Relationship Id="rId2208" Type="http://schemas.openxmlformats.org/officeDocument/2006/relationships/hyperlink" Target="https://en.wikipedia.org/wiki/Kentucky" TargetMode="External"/><Relationship Id="rId3538" Type="http://schemas.openxmlformats.org/officeDocument/2006/relationships/hyperlink" Target="https://en.wikipedia.org/wiki/New_Hampshire" TargetMode="External"/><Relationship Id="rId4869" Type="http://schemas.openxmlformats.org/officeDocument/2006/relationships/hyperlink" Target="https://en.wikipedia.org/wiki/Blount_County,_Tennessee" TargetMode="External"/><Relationship Id="rId2209" Type="http://schemas.openxmlformats.org/officeDocument/2006/relationships/hyperlink" Target="https://en.wikipedia.org/wiki/Todd_County,_Kentucky" TargetMode="External"/><Relationship Id="rId4860" Type="http://schemas.openxmlformats.org/officeDocument/2006/relationships/hyperlink" Target="https://en.wikipedia.org/wiki/Tennessee" TargetMode="External"/><Relationship Id="rId3531" Type="http://schemas.openxmlformats.org/officeDocument/2006/relationships/hyperlink" Target="https://en.wikipedia.org/wiki/Carson_City,_Nevada" TargetMode="External"/><Relationship Id="rId4862" Type="http://schemas.openxmlformats.org/officeDocument/2006/relationships/hyperlink" Target="https://en.wikipedia.org/wiki/Tennessee" TargetMode="External"/><Relationship Id="rId2200" Type="http://schemas.openxmlformats.org/officeDocument/2006/relationships/hyperlink" Target="https://en.wikipedia.org/wiki/Kentucky" TargetMode="External"/><Relationship Id="rId3530" Type="http://schemas.openxmlformats.org/officeDocument/2006/relationships/hyperlink" Target="https://en.wikipedia.org/wiki/Nevada" TargetMode="External"/><Relationship Id="rId4861" Type="http://schemas.openxmlformats.org/officeDocument/2006/relationships/hyperlink" Target="https://en.wikipedia.org/wiki/Anderson_County,_Tennessee" TargetMode="External"/><Relationship Id="rId2201" Type="http://schemas.openxmlformats.org/officeDocument/2006/relationships/hyperlink" Target="https://en.wikipedia.org/wiki/Shelby_County,_Kentucky" TargetMode="External"/><Relationship Id="rId3533" Type="http://schemas.openxmlformats.org/officeDocument/2006/relationships/hyperlink" Target="https://en.wikipedia.org/wiki/Belknap_County,_New_Hampshire" TargetMode="External"/><Relationship Id="rId4864" Type="http://schemas.openxmlformats.org/officeDocument/2006/relationships/hyperlink" Target="https://en.wikipedia.org/wiki/Tennessee" TargetMode="External"/><Relationship Id="rId2202" Type="http://schemas.openxmlformats.org/officeDocument/2006/relationships/hyperlink" Target="https://en.wikipedia.org/wiki/Kentucky" TargetMode="External"/><Relationship Id="rId3532" Type="http://schemas.openxmlformats.org/officeDocument/2006/relationships/hyperlink" Target="https://en.wikipedia.org/wiki/New_Hampshire" TargetMode="External"/><Relationship Id="rId4863" Type="http://schemas.openxmlformats.org/officeDocument/2006/relationships/hyperlink" Target="https://en.wikipedia.org/wiki/Bedford_County,_Tennessee" TargetMode="External"/><Relationship Id="rId3524" Type="http://schemas.openxmlformats.org/officeDocument/2006/relationships/hyperlink" Target="https://en.wikipedia.org/wiki/Nevada" TargetMode="External"/><Relationship Id="rId4855" Type="http://schemas.openxmlformats.org/officeDocument/2006/relationships/hyperlink" Target="https://en.wikipedia.org/wiki/Walworth_County,_South_Dakota" TargetMode="External"/><Relationship Id="rId3523" Type="http://schemas.openxmlformats.org/officeDocument/2006/relationships/hyperlink" Target="https://en.wikipedia.org/wiki/Pershing_County,_Nevada" TargetMode="External"/><Relationship Id="rId4854" Type="http://schemas.openxmlformats.org/officeDocument/2006/relationships/hyperlink" Target="https://en.wikipedia.org/wiki/South_Dakota" TargetMode="External"/><Relationship Id="rId3526" Type="http://schemas.openxmlformats.org/officeDocument/2006/relationships/hyperlink" Target="https://en.wikipedia.org/wiki/Nevada" TargetMode="External"/><Relationship Id="rId4857" Type="http://schemas.openxmlformats.org/officeDocument/2006/relationships/hyperlink" Target="https://en.wikipedia.org/wiki/Yankton_County,_South_Dakota" TargetMode="External"/><Relationship Id="rId3525" Type="http://schemas.openxmlformats.org/officeDocument/2006/relationships/hyperlink" Target="https://en.wikipedia.org/wiki/Storey_County,_Nevada" TargetMode="External"/><Relationship Id="rId4856" Type="http://schemas.openxmlformats.org/officeDocument/2006/relationships/hyperlink" Target="https://en.wikipedia.org/wiki/South_Dakota" TargetMode="External"/><Relationship Id="rId3528" Type="http://schemas.openxmlformats.org/officeDocument/2006/relationships/hyperlink" Target="https://en.wikipedia.org/wiki/Nevada" TargetMode="External"/><Relationship Id="rId4859" Type="http://schemas.openxmlformats.org/officeDocument/2006/relationships/hyperlink" Target="https://en.wikipedia.org/wiki/Ziebach_County,_South_Dakota" TargetMode="External"/><Relationship Id="rId3527" Type="http://schemas.openxmlformats.org/officeDocument/2006/relationships/hyperlink" Target="https://en.wikipedia.org/wiki/Washoe_County,_Nevada" TargetMode="External"/><Relationship Id="rId4858" Type="http://schemas.openxmlformats.org/officeDocument/2006/relationships/hyperlink" Target="https://en.wikipedia.org/wiki/South_Dakota" TargetMode="External"/><Relationship Id="rId3529" Type="http://schemas.openxmlformats.org/officeDocument/2006/relationships/hyperlink" Target="https://en.wikipedia.org/wiki/White_Pine_County,_Nevada" TargetMode="External"/><Relationship Id="rId3520" Type="http://schemas.openxmlformats.org/officeDocument/2006/relationships/hyperlink" Target="https://en.wikipedia.org/wiki/Nevada" TargetMode="External"/><Relationship Id="rId4851" Type="http://schemas.openxmlformats.org/officeDocument/2006/relationships/hyperlink" Target="https://en.wikipedia.org/wiki/Turner_County,_South_Dakota" TargetMode="External"/><Relationship Id="rId4850" Type="http://schemas.openxmlformats.org/officeDocument/2006/relationships/hyperlink" Target="https://en.wikipedia.org/wiki/South_Dakota" TargetMode="External"/><Relationship Id="rId3522" Type="http://schemas.openxmlformats.org/officeDocument/2006/relationships/hyperlink" Target="https://en.wikipedia.org/wiki/Nevada" TargetMode="External"/><Relationship Id="rId4853" Type="http://schemas.openxmlformats.org/officeDocument/2006/relationships/hyperlink" Target="https://en.wikipedia.org/wiki/Union_County,_South_Dakota" TargetMode="External"/><Relationship Id="rId3521" Type="http://schemas.openxmlformats.org/officeDocument/2006/relationships/hyperlink" Target="https://en.wikipedia.org/wiki/Nye_County,_Nevada" TargetMode="External"/><Relationship Id="rId4852" Type="http://schemas.openxmlformats.org/officeDocument/2006/relationships/hyperlink" Target="https://en.wikipedia.org/wiki/South_Dakota" TargetMode="External"/><Relationship Id="rId4800" Type="http://schemas.openxmlformats.org/officeDocument/2006/relationships/hyperlink" Target="https://en.wikipedia.org/wiki/South_Dakota" TargetMode="External"/><Relationship Id="rId4802" Type="http://schemas.openxmlformats.org/officeDocument/2006/relationships/hyperlink" Target="https://en.wikipedia.org/wiki/South_Dakota" TargetMode="External"/><Relationship Id="rId4801" Type="http://schemas.openxmlformats.org/officeDocument/2006/relationships/hyperlink" Target="https://en.wikipedia.org/wiki/Jones_County,_South_Dakota" TargetMode="External"/><Relationship Id="rId4804" Type="http://schemas.openxmlformats.org/officeDocument/2006/relationships/hyperlink" Target="https://en.wikipedia.org/wiki/South_Dakota" TargetMode="External"/><Relationship Id="rId4803" Type="http://schemas.openxmlformats.org/officeDocument/2006/relationships/hyperlink" Target="https://en.wikipedia.org/wiki/Kingsbury_County,_South_Dakota" TargetMode="External"/><Relationship Id="rId4806" Type="http://schemas.openxmlformats.org/officeDocument/2006/relationships/hyperlink" Target="https://en.wikipedia.org/wiki/South_Dakota" TargetMode="External"/><Relationship Id="rId4805" Type="http://schemas.openxmlformats.org/officeDocument/2006/relationships/hyperlink" Target="https://en.wikipedia.org/wiki/Lake_County,_South_Dakota" TargetMode="External"/><Relationship Id="rId4808" Type="http://schemas.openxmlformats.org/officeDocument/2006/relationships/hyperlink" Target="https://en.wikipedia.org/wiki/South_Dakota" TargetMode="External"/><Relationship Id="rId4807" Type="http://schemas.openxmlformats.org/officeDocument/2006/relationships/hyperlink" Target="https://en.wikipedia.org/wiki/Lawrence_County,_South_Dakota" TargetMode="External"/><Relationship Id="rId4809" Type="http://schemas.openxmlformats.org/officeDocument/2006/relationships/hyperlink" Target="https://en.wikipedia.org/wiki/Lincoln_County,_South_Dakota" TargetMode="External"/><Relationship Id="rId4822" Type="http://schemas.openxmlformats.org/officeDocument/2006/relationships/hyperlink" Target="https://en.wikipedia.org/wiki/South_Dakota" TargetMode="External"/><Relationship Id="rId4821" Type="http://schemas.openxmlformats.org/officeDocument/2006/relationships/hyperlink" Target="https://en.wikipedia.org/wiki/Mellette_County,_South_Dakota" TargetMode="External"/><Relationship Id="rId4824" Type="http://schemas.openxmlformats.org/officeDocument/2006/relationships/hyperlink" Target="https://en.wikipedia.org/wiki/South_Dakota" TargetMode="External"/><Relationship Id="rId4823" Type="http://schemas.openxmlformats.org/officeDocument/2006/relationships/hyperlink" Target="https://en.wikipedia.org/wiki/Miner_County,_South_Dakota" TargetMode="External"/><Relationship Id="rId4826" Type="http://schemas.openxmlformats.org/officeDocument/2006/relationships/hyperlink" Target="https://en.wikipedia.org/wiki/South_Dakota" TargetMode="External"/><Relationship Id="rId4825" Type="http://schemas.openxmlformats.org/officeDocument/2006/relationships/hyperlink" Target="https://en.wikipedia.org/wiki/Minnehaha_County,_South_Dakota" TargetMode="External"/><Relationship Id="rId4828" Type="http://schemas.openxmlformats.org/officeDocument/2006/relationships/hyperlink" Target="https://en.wikipedia.org/wiki/South_Dakota" TargetMode="External"/><Relationship Id="rId4827" Type="http://schemas.openxmlformats.org/officeDocument/2006/relationships/hyperlink" Target="https://en.wikipedia.org/wiki/Moody_County,_South_Dakota" TargetMode="External"/><Relationship Id="rId4829" Type="http://schemas.openxmlformats.org/officeDocument/2006/relationships/hyperlink" Target="https://en.wikipedia.org/wiki/Pennington_County,_South_Dakota" TargetMode="External"/><Relationship Id="rId4820" Type="http://schemas.openxmlformats.org/officeDocument/2006/relationships/hyperlink" Target="https://en.wikipedia.org/wiki/South_Dakota" TargetMode="External"/><Relationship Id="rId4811" Type="http://schemas.openxmlformats.org/officeDocument/2006/relationships/hyperlink" Target="https://en.wikipedia.org/wiki/Lyman_County,_South_Dakota" TargetMode="External"/><Relationship Id="rId4810" Type="http://schemas.openxmlformats.org/officeDocument/2006/relationships/hyperlink" Target="https://en.wikipedia.org/wiki/South_Dakota" TargetMode="External"/><Relationship Id="rId4813" Type="http://schemas.openxmlformats.org/officeDocument/2006/relationships/hyperlink" Target="https://en.wikipedia.org/wiki/McCook_County,_South_Dakota" TargetMode="External"/><Relationship Id="rId4812" Type="http://schemas.openxmlformats.org/officeDocument/2006/relationships/hyperlink" Target="https://en.wikipedia.org/wiki/South_Dakota" TargetMode="External"/><Relationship Id="rId4815" Type="http://schemas.openxmlformats.org/officeDocument/2006/relationships/hyperlink" Target="https://en.wikipedia.org/wiki/McPherson_County,_South_Dakota" TargetMode="External"/><Relationship Id="rId4814" Type="http://schemas.openxmlformats.org/officeDocument/2006/relationships/hyperlink" Target="https://en.wikipedia.org/wiki/South_Dakota" TargetMode="External"/><Relationship Id="rId4817" Type="http://schemas.openxmlformats.org/officeDocument/2006/relationships/hyperlink" Target="https://en.wikipedia.org/wiki/Marshall_County,_South_Dakota" TargetMode="External"/><Relationship Id="rId4816" Type="http://schemas.openxmlformats.org/officeDocument/2006/relationships/hyperlink" Target="https://en.wikipedia.org/wiki/South_Dakota" TargetMode="External"/><Relationship Id="rId4819" Type="http://schemas.openxmlformats.org/officeDocument/2006/relationships/hyperlink" Target="https://en.wikipedia.org/wiki/Meade_County,_South_Dakota" TargetMode="External"/><Relationship Id="rId4818" Type="http://schemas.openxmlformats.org/officeDocument/2006/relationships/hyperlink" Target="https://en.wikipedia.org/wiki/South_Dakota" TargetMode="External"/><Relationship Id="rId2269" Type="http://schemas.openxmlformats.org/officeDocument/2006/relationships/hyperlink" Target="https://en.wikipedia.org/wiki/Evangeline_Parish,_Louisiana" TargetMode="External"/><Relationship Id="rId3591" Type="http://schemas.openxmlformats.org/officeDocument/2006/relationships/hyperlink" Target="https://en.wikipedia.org/wiki/Union_County,_New_Jersey" TargetMode="External"/><Relationship Id="rId2260" Type="http://schemas.openxmlformats.org/officeDocument/2006/relationships/hyperlink" Target="https://en.wikipedia.org/wiki/Louisiana" TargetMode="External"/><Relationship Id="rId3590" Type="http://schemas.openxmlformats.org/officeDocument/2006/relationships/hyperlink" Target="https://en.wikipedia.org/wiki/New_Jersey" TargetMode="External"/><Relationship Id="rId2261" Type="http://schemas.openxmlformats.org/officeDocument/2006/relationships/hyperlink" Target="https://en.wikipedia.org/wiki/De_Soto_Parish,_Louisiana" TargetMode="External"/><Relationship Id="rId3593" Type="http://schemas.openxmlformats.org/officeDocument/2006/relationships/hyperlink" Target="https://en.wikipedia.org/wiki/Warren_County,_New_Jersey" TargetMode="External"/><Relationship Id="rId2262" Type="http://schemas.openxmlformats.org/officeDocument/2006/relationships/hyperlink" Target="https://en.wikipedia.org/wiki/Louisiana" TargetMode="External"/><Relationship Id="rId3592" Type="http://schemas.openxmlformats.org/officeDocument/2006/relationships/hyperlink" Target="https://en.wikipedia.org/wiki/New_Jersey" TargetMode="External"/><Relationship Id="rId2263" Type="http://schemas.openxmlformats.org/officeDocument/2006/relationships/hyperlink" Target="https://en.wikipedia.org/wiki/East_Baton_Rouge_Parish,_Louisiana" TargetMode="External"/><Relationship Id="rId3595" Type="http://schemas.openxmlformats.org/officeDocument/2006/relationships/hyperlink" Target="https://en.wikipedia.org/wiki/Bernalillo_County,_New_Mexico" TargetMode="External"/><Relationship Id="rId2264" Type="http://schemas.openxmlformats.org/officeDocument/2006/relationships/hyperlink" Target="https://en.wikipedia.org/wiki/Louisiana" TargetMode="External"/><Relationship Id="rId3594" Type="http://schemas.openxmlformats.org/officeDocument/2006/relationships/hyperlink" Target="https://en.wikipedia.org/wiki/New_Mexico" TargetMode="External"/><Relationship Id="rId2265" Type="http://schemas.openxmlformats.org/officeDocument/2006/relationships/hyperlink" Target="https://en.wikipedia.org/wiki/East_Carroll_Parish,_Louisiana" TargetMode="External"/><Relationship Id="rId3597" Type="http://schemas.openxmlformats.org/officeDocument/2006/relationships/hyperlink" Target="https://en.wikipedia.org/wiki/Catron_County,_New_Mexico" TargetMode="External"/><Relationship Id="rId2266" Type="http://schemas.openxmlformats.org/officeDocument/2006/relationships/hyperlink" Target="https://en.wikipedia.org/wiki/Louisiana" TargetMode="External"/><Relationship Id="rId3596" Type="http://schemas.openxmlformats.org/officeDocument/2006/relationships/hyperlink" Target="https://en.wikipedia.org/wiki/New_Mexico" TargetMode="External"/><Relationship Id="rId2267" Type="http://schemas.openxmlformats.org/officeDocument/2006/relationships/hyperlink" Target="https://en.wikipedia.org/wiki/East_Feliciana_Parish,_Louisiana" TargetMode="External"/><Relationship Id="rId3599" Type="http://schemas.openxmlformats.org/officeDocument/2006/relationships/hyperlink" Target="https://en.wikipedia.org/wiki/Chaves_County,_New_Mexico" TargetMode="External"/><Relationship Id="rId2268" Type="http://schemas.openxmlformats.org/officeDocument/2006/relationships/hyperlink" Target="https://en.wikipedia.org/wiki/Louisiana" TargetMode="External"/><Relationship Id="rId3598" Type="http://schemas.openxmlformats.org/officeDocument/2006/relationships/hyperlink" Target="https://en.wikipedia.org/wiki/New_Mexico" TargetMode="External"/><Relationship Id="rId2258" Type="http://schemas.openxmlformats.org/officeDocument/2006/relationships/hyperlink" Target="https://en.wikipedia.org/wiki/Louisiana" TargetMode="External"/><Relationship Id="rId2259" Type="http://schemas.openxmlformats.org/officeDocument/2006/relationships/hyperlink" Target="https://en.wikipedia.org/wiki/Concordia_Parish,_Louisiana" TargetMode="External"/><Relationship Id="rId3589" Type="http://schemas.openxmlformats.org/officeDocument/2006/relationships/hyperlink" Target="https://en.wikipedia.org/wiki/Sussex_County,_New_Jersey" TargetMode="External"/><Relationship Id="rId3580" Type="http://schemas.openxmlformats.org/officeDocument/2006/relationships/hyperlink" Target="https://en.wikipedia.org/wiki/New_Jersey" TargetMode="External"/><Relationship Id="rId2250" Type="http://schemas.openxmlformats.org/officeDocument/2006/relationships/hyperlink" Target="https://en.wikipedia.org/wiki/Louisiana" TargetMode="External"/><Relationship Id="rId3582" Type="http://schemas.openxmlformats.org/officeDocument/2006/relationships/hyperlink" Target="https://en.wikipedia.org/wiki/New_Jersey" TargetMode="External"/><Relationship Id="rId2251" Type="http://schemas.openxmlformats.org/officeDocument/2006/relationships/hyperlink" Target="https://en.wikipedia.org/wiki/Caldwell_Parish,_Louisiana" TargetMode="External"/><Relationship Id="rId3581" Type="http://schemas.openxmlformats.org/officeDocument/2006/relationships/hyperlink" Target="https://en.wikipedia.org/wiki/Ocean_County,_New_Jersey" TargetMode="External"/><Relationship Id="rId2252" Type="http://schemas.openxmlformats.org/officeDocument/2006/relationships/hyperlink" Target="https://en.wikipedia.org/wiki/Louisiana" TargetMode="External"/><Relationship Id="rId3584" Type="http://schemas.openxmlformats.org/officeDocument/2006/relationships/hyperlink" Target="https://en.wikipedia.org/wiki/New_Jersey" TargetMode="External"/><Relationship Id="rId2253" Type="http://schemas.openxmlformats.org/officeDocument/2006/relationships/hyperlink" Target="https://en.wikipedia.org/wiki/Cameron_Parish,_Louisiana" TargetMode="External"/><Relationship Id="rId3583" Type="http://schemas.openxmlformats.org/officeDocument/2006/relationships/hyperlink" Target="https://en.wikipedia.org/wiki/Passaic_County,_New_Jersey" TargetMode="External"/><Relationship Id="rId2254" Type="http://schemas.openxmlformats.org/officeDocument/2006/relationships/hyperlink" Target="https://en.wikipedia.org/wiki/Louisiana" TargetMode="External"/><Relationship Id="rId3586" Type="http://schemas.openxmlformats.org/officeDocument/2006/relationships/hyperlink" Target="https://en.wikipedia.org/wiki/New_Jersey" TargetMode="External"/><Relationship Id="rId2255" Type="http://schemas.openxmlformats.org/officeDocument/2006/relationships/hyperlink" Target="https://en.wikipedia.org/wiki/Catahoula_Parish,_Louisiana" TargetMode="External"/><Relationship Id="rId3585" Type="http://schemas.openxmlformats.org/officeDocument/2006/relationships/hyperlink" Target="https://en.wikipedia.org/wiki/Salem_County,_New_Jersey" TargetMode="External"/><Relationship Id="rId2256" Type="http://schemas.openxmlformats.org/officeDocument/2006/relationships/hyperlink" Target="https://en.wikipedia.org/wiki/Louisiana" TargetMode="External"/><Relationship Id="rId3588" Type="http://schemas.openxmlformats.org/officeDocument/2006/relationships/hyperlink" Target="https://en.wikipedia.org/wiki/New_Jersey" TargetMode="External"/><Relationship Id="rId2257" Type="http://schemas.openxmlformats.org/officeDocument/2006/relationships/hyperlink" Target="https://en.wikipedia.org/wiki/Claiborne_Parish,_Louisiana" TargetMode="External"/><Relationship Id="rId3587" Type="http://schemas.openxmlformats.org/officeDocument/2006/relationships/hyperlink" Target="https://en.wikipedia.org/wiki/Somerset_County,_New_Jersey" TargetMode="External"/><Relationship Id="rId2280" Type="http://schemas.openxmlformats.org/officeDocument/2006/relationships/hyperlink" Target="https://en.wikipedia.org/wiki/Louisiana" TargetMode="External"/><Relationship Id="rId2281" Type="http://schemas.openxmlformats.org/officeDocument/2006/relationships/hyperlink" Target="https://en.wikipedia.org/wiki/Jefferson_Parish,_Louisiana" TargetMode="External"/><Relationship Id="rId2282" Type="http://schemas.openxmlformats.org/officeDocument/2006/relationships/hyperlink" Target="https://en.wikipedia.org/wiki/Louisiana" TargetMode="External"/><Relationship Id="rId2283" Type="http://schemas.openxmlformats.org/officeDocument/2006/relationships/hyperlink" Target="https://en.wikipedia.org/wiki/Jefferson_Davis_Parish,_Louisiana" TargetMode="External"/><Relationship Id="rId2284" Type="http://schemas.openxmlformats.org/officeDocument/2006/relationships/hyperlink" Target="https://en.wikipedia.org/wiki/Louisiana" TargetMode="External"/><Relationship Id="rId2285" Type="http://schemas.openxmlformats.org/officeDocument/2006/relationships/hyperlink" Target="https://en.wikipedia.org/wiki/Lafayette_Parish,_Louisiana" TargetMode="External"/><Relationship Id="rId2286" Type="http://schemas.openxmlformats.org/officeDocument/2006/relationships/hyperlink" Target="https://en.wikipedia.org/wiki/Louisiana" TargetMode="External"/><Relationship Id="rId2287" Type="http://schemas.openxmlformats.org/officeDocument/2006/relationships/hyperlink" Target="https://en.wikipedia.org/wiki/Lafourche_Parish,_Louisiana" TargetMode="External"/><Relationship Id="rId2288" Type="http://schemas.openxmlformats.org/officeDocument/2006/relationships/hyperlink" Target="https://en.wikipedia.org/wiki/Louisiana" TargetMode="External"/><Relationship Id="rId2289" Type="http://schemas.openxmlformats.org/officeDocument/2006/relationships/hyperlink" Target="https://en.wikipedia.org/wiki/La_Salle_Parish,_Louisiana" TargetMode="External"/><Relationship Id="rId2270" Type="http://schemas.openxmlformats.org/officeDocument/2006/relationships/hyperlink" Target="https://en.wikipedia.org/wiki/Louisiana" TargetMode="External"/><Relationship Id="rId2271" Type="http://schemas.openxmlformats.org/officeDocument/2006/relationships/hyperlink" Target="https://en.wikipedia.org/wiki/Franklin_Parish,_Louisiana" TargetMode="External"/><Relationship Id="rId2272" Type="http://schemas.openxmlformats.org/officeDocument/2006/relationships/hyperlink" Target="https://en.wikipedia.org/wiki/Louisiana" TargetMode="External"/><Relationship Id="rId2273" Type="http://schemas.openxmlformats.org/officeDocument/2006/relationships/hyperlink" Target="https://en.wikipedia.org/wiki/Grant_Parish,_Louisiana" TargetMode="External"/><Relationship Id="rId2274" Type="http://schemas.openxmlformats.org/officeDocument/2006/relationships/hyperlink" Target="https://en.wikipedia.org/wiki/Louisiana" TargetMode="External"/><Relationship Id="rId2275" Type="http://schemas.openxmlformats.org/officeDocument/2006/relationships/hyperlink" Target="https://en.wikipedia.org/wiki/Iberia_Parish,_Louisiana" TargetMode="External"/><Relationship Id="rId2276" Type="http://schemas.openxmlformats.org/officeDocument/2006/relationships/hyperlink" Target="https://en.wikipedia.org/wiki/Louisiana" TargetMode="External"/><Relationship Id="rId2277" Type="http://schemas.openxmlformats.org/officeDocument/2006/relationships/hyperlink" Target="https://en.wikipedia.org/wiki/Iberville_Parish,_Louisiana" TargetMode="External"/><Relationship Id="rId2278" Type="http://schemas.openxmlformats.org/officeDocument/2006/relationships/hyperlink" Target="https://en.wikipedia.org/wiki/Louisiana" TargetMode="External"/><Relationship Id="rId2279" Type="http://schemas.openxmlformats.org/officeDocument/2006/relationships/hyperlink" Target="https://en.wikipedia.org/wiki/Jackson_Parish,_Louisiana" TargetMode="External"/><Relationship Id="rId2225" Type="http://schemas.openxmlformats.org/officeDocument/2006/relationships/hyperlink" Target="https://en.wikipedia.org/wiki/Whitley_County,_Kentucky" TargetMode="External"/><Relationship Id="rId3557" Type="http://schemas.openxmlformats.org/officeDocument/2006/relationships/hyperlink" Target="https://en.wikipedia.org/wiki/Burlington_County,_New_Jersey" TargetMode="External"/><Relationship Id="rId4888" Type="http://schemas.openxmlformats.org/officeDocument/2006/relationships/hyperlink" Target="https://en.wikipedia.org/wiki/Tennessee" TargetMode="External"/><Relationship Id="rId2226" Type="http://schemas.openxmlformats.org/officeDocument/2006/relationships/hyperlink" Target="https://en.wikipedia.org/wiki/Kentucky" TargetMode="External"/><Relationship Id="rId3556" Type="http://schemas.openxmlformats.org/officeDocument/2006/relationships/hyperlink" Target="https://en.wikipedia.org/wiki/New_Jersey" TargetMode="External"/><Relationship Id="rId4887" Type="http://schemas.openxmlformats.org/officeDocument/2006/relationships/hyperlink" Target="https://en.wikipedia.org/wiki/Clay_County,_Tennessee" TargetMode="External"/><Relationship Id="rId2227" Type="http://schemas.openxmlformats.org/officeDocument/2006/relationships/hyperlink" Target="https://en.wikipedia.org/wiki/Wolfe_County,_Kentucky" TargetMode="External"/><Relationship Id="rId3559" Type="http://schemas.openxmlformats.org/officeDocument/2006/relationships/hyperlink" Target="https://en.wikipedia.org/wiki/Camden_County,_New_Jersey" TargetMode="External"/><Relationship Id="rId2228" Type="http://schemas.openxmlformats.org/officeDocument/2006/relationships/hyperlink" Target="https://en.wikipedia.org/wiki/Kentucky" TargetMode="External"/><Relationship Id="rId3558" Type="http://schemas.openxmlformats.org/officeDocument/2006/relationships/hyperlink" Target="https://en.wikipedia.org/wiki/New_Jersey" TargetMode="External"/><Relationship Id="rId4889" Type="http://schemas.openxmlformats.org/officeDocument/2006/relationships/hyperlink" Target="https://en.wikipedia.org/wiki/Cocke_County,_Tennessee" TargetMode="External"/><Relationship Id="rId2229" Type="http://schemas.openxmlformats.org/officeDocument/2006/relationships/hyperlink" Target="https://en.wikipedia.org/wiki/Woodford_County,_Kentucky" TargetMode="External"/><Relationship Id="rId4880" Type="http://schemas.openxmlformats.org/officeDocument/2006/relationships/hyperlink" Target="https://en.wikipedia.org/wiki/Tennessee" TargetMode="External"/><Relationship Id="rId3551" Type="http://schemas.openxmlformats.org/officeDocument/2006/relationships/hyperlink" Target="https://en.wikipedia.org/wiki/Sullivan_County,_New_Hampshire" TargetMode="External"/><Relationship Id="rId4882" Type="http://schemas.openxmlformats.org/officeDocument/2006/relationships/hyperlink" Target="https://en.wikipedia.org/wiki/Tennessee" TargetMode="External"/><Relationship Id="rId2220" Type="http://schemas.openxmlformats.org/officeDocument/2006/relationships/hyperlink" Target="https://en.wikipedia.org/wiki/Kentucky" TargetMode="External"/><Relationship Id="rId3550" Type="http://schemas.openxmlformats.org/officeDocument/2006/relationships/hyperlink" Target="https://en.wikipedia.org/wiki/New_Hampshire" TargetMode="External"/><Relationship Id="rId4881" Type="http://schemas.openxmlformats.org/officeDocument/2006/relationships/hyperlink" Target="https://en.wikipedia.org/wiki/Cheatham_County,_Tennessee" TargetMode="External"/><Relationship Id="rId2221" Type="http://schemas.openxmlformats.org/officeDocument/2006/relationships/hyperlink" Target="https://en.wikipedia.org/wiki/Wayne_County,_Kentucky" TargetMode="External"/><Relationship Id="rId3553" Type="http://schemas.openxmlformats.org/officeDocument/2006/relationships/hyperlink" Target="https://en.wikipedia.org/wiki/Atlantic_County,_New_Jersey" TargetMode="External"/><Relationship Id="rId4884" Type="http://schemas.openxmlformats.org/officeDocument/2006/relationships/hyperlink" Target="https://en.wikipedia.org/wiki/Tennessee" TargetMode="External"/><Relationship Id="rId2222" Type="http://schemas.openxmlformats.org/officeDocument/2006/relationships/hyperlink" Target="https://en.wikipedia.org/wiki/Kentucky" TargetMode="External"/><Relationship Id="rId3552" Type="http://schemas.openxmlformats.org/officeDocument/2006/relationships/hyperlink" Target="https://en.wikipedia.org/wiki/New_Jersey" TargetMode="External"/><Relationship Id="rId4883" Type="http://schemas.openxmlformats.org/officeDocument/2006/relationships/hyperlink" Target="https://en.wikipedia.org/wiki/Chester_County,_Tennessee" TargetMode="External"/><Relationship Id="rId2223" Type="http://schemas.openxmlformats.org/officeDocument/2006/relationships/hyperlink" Target="https://en.wikipedia.org/wiki/Webster_County,_Kentucky" TargetMode="External"/><Relationship Id="rId3555" Type="http://schemas.openxmlformats.org/officeDocument/2006/relationships/hyperlink" Target="https://en.wikipedia.org/wiki/Bergen_County,_New_Jersey" TargetMode="External"/><Relationship Id="rId4886" Type="http://schemas.openxmlformats.org/officeDocument/2006/relationships/hyperlink" Target="https://en.wikipedia.org/wiki/Tennessee" TargetMode="External"/><Relationship Id="rId2224" Type="http://schemas.openxmlformats.org/officeDocument/2006/relationships/hyperlink" Target="https://en.wikipedia.org/wiki/Kentucky" TargetMode="External"/><Relationship Id="rId3554" Type="http://schemas.openxmlformats.org/officeDocument/2006/relationships/hyperlink" Target="https://en.wikipedia.org/wiki/New_Jersey" TargetMode="External"/><Relationship Id="rId4885" Type="http://schemas.openxmlformats.org/officeDocument/2006/relationships/hyperlink" Target="https://en.wikipedia.org/wiki/Claiborne_County,_Tennessee" TargetMode="External"/><Relationship Id="rId2214" Type="http://schemas.openxmlformats.org/officeDocument/2006/relationships/hyperlink" Target="https://en.wikipedia.org/wiki/Kentucky" TargetMode="External"/><Relationship Id="rId3546" Type="http://schemas.openxmlformats.org/officeDocument/2006/relationships/hyperlink" Target="https://en.wikipedia.org/wiki/New_Hampshire" TargetMode="External"/><Relationship Id="rId4877" Type="http://schemas.openxmlformats.org/officeDocument/2006/relationships/hyperlink" Target="https://en.wikipedia.org/wiki/Carroll_County,_Tennessee" TargetMode="External"/><Relationship Id="rId2215" Type="http://schemas.openxmlformats.org/officeDocument/2006/relationships/hyperlink" Target="https://en.wikipedia.org/wiki/Union_County,_Kentucky" TargetMode="External"/><Relationship Id="rId3545" Type="http://schemas.openxmlformats.org/officeDocument/2006/relationships/hyperlink" Target="https://en.wikipedia.org/wiki/Merrimack_County,_New_Hampshire" TargetMode="External"/><Relationship Id="rId4876" Type="http://schemas.openxmlformats.org/officeDocument/2006/relationships/hyperlink" Target="https://en.wikipedia.org/wiki/Tennessee" TargetMode="External"/><Relationship Id="rId2216" Type="http://schemas.openxmlformats.org/officeDocument/2006/relationships/hyperlink" Target="https://en.wikipedia.org/wiki/Kentucky" TargetMode="External"/><Relationship Id="rId3548" Type="http://schemas.openxmlformats.org/officeDocument/2006/relationships/hyperlink" Target="https://en.wikipedia.org/wiki/New_Hampshire" TargetMode="External"/><Relationship Id="rId4879" Type="http://schemas.openxmlformats.org/officeDocument/2006/relationships/hyperlink" Target="https://en.wikipedia.org/wiki/Carter_County,_Tennessee" TargetMode="External"/><Relationship Id="rId2217" Type="http://schemas.openxmlformats.org/officeDocument/2006/relationships/hyperlink" Target="https://en.wikipedia.org/wiki/Warren_County,_Kentucky" TargetMode="External"/><Relationship Id="rId3547" Type="http://schemas.openxmlformats.org/officeDocument/2006/relationships/hyperlink" Target="https://en.wikipedia.org/wiki/Rockingham_County,_New_Hampshire" TargetMode="External"/><Relationship Id="rId4878" Type="http://schemas.openxmlformats.org/officeDocument/2006/relationships/hyperlink" Target="https://en.wikipedia.org/wiki/Tennessee" TargetMode="External"/><Relationship Id="rId2218" Type="http://schemas.openxmlformats.org/officeDocument/2006/relationships/hyperlink" Target="https://en.wikipedia.org/wiki/Kentucky" TargetMode="External"/><Relationship Id="rId2219" Type="http://schemas.openxmlformats.org/officeDocument/2006/relationships/hyperlink" Target="https://en.wikipedia.org/wiki/Washington_County,_Kentucky" TargetMode="External"/><Relationship Id="rId3549" Type="http://schemas.openxmlformats.org/officeDocument/2006/relationships/hyperlink" Target="https://en.wikipedia.org/wiki/Strafford_County,_New_Hampshire" TargetMode="External"/><Relationship Id="rId3540" Type="http://schemas.openxmlformats.org/officeDocument/2006/relationships/hyperlink" Target="https://en.wikipedia.org/wiki/New_Hampshire" TargetMode="External"/><Relationship Id="rId4871" Type="http://schemas.openxmlformats.org/officeDocument/2006/relationships/hyperlink" Target="https://en.wikipedia.org/wiki/Bradley_County,_Tennessee" TargetMode="External"/><Relationship Id="rId4870" Type="http://schemas.openxmlformats.org/officeDocument/2006/relationships/hyperlink" Target="https://en.wikipedia.org/wiki/Tennessee" TargetMode="External"/><Relationship Id="rId2210" Type="http://schemas.openxmlformats.org/officeDocument/2006/relationships/hyperlink" Target="https://en.wikipedia.org/wiki/Kentucky" TargetMode="External"/><Relationship Id="rId3542" Type="http://schemas.openxmlformats.org/officeDocument/2006/relationships/hyperlink" Target="https://en.wikipedia.org/wiki/New_Hampshire" TargetMode="External"/><Relationship Id="rId4873" Type="http://schemas.openxmlformats.org/officeDocument/2006/relationships/hyperlink" Target="https://en.wikipedia.org/wiki/Campbell_County,_Tennessee" TargetMode="External"/><Relationship Id="rId2211" Type="http://schemas.openxmlformats.org/officeDocument/2006/relationships/hyperlink" Target="https://en.wikipedia.org/wiki/Trigg_County,_Kentucky" TargetMode="External"/><Relationship Id="rId3541" Type="http://schemas.openxmlformats.org/officeDocument/2006/relationships/hyperlink" Target="https://en.wikipedia.org/wiki/Grafton_County,_New_Hampshire" TargetMode="External"/><Relationship Id="rId4872" Type="http://schemas.openxmlformats.org/officeDocument/2006/relationships/hyperlink" Target="https://en.wikipedia.org/wiki/Tennessee" TargetMode="External"/><Relationship Id="rId2212" Type="http://schemas.openxmlformats.org/officeDocument/2006/relationships/hyperlink" Target="https://en.wikipedia.org/wiki/Kentucky" TargetMode="External"/><Relationship Id="rId3544" Type="http://schemas.openxmlformats.org/officeDocument/2006/relationships/hyperlink" Target="https://en.wikipedia.org/wiki/New_Hampshire" TargetMode="External"/><Relationship Id="rId4875" Type="http://schemas.openxmlformats.org/officeDocument/2006/relationships/hyperlink" Target="https://en.wikipedia.org/wiki/Cannon_County,_Tennessee" TargetMode="External"/><Relationship Id="rId2213" Type="http://schemas.openxmlformats.org/officeDocument/2006/relationships/hyperlink" Target="https://en.wikipedia.org/wiki/Trimble_County,_Kentucky" TargetMode="External"/><Relationship Id="rId3543" Type="http://schemas.openxmlformats.org/officeDocument/2006/relationships/hyperlink" Target="https://en.wikipedia.org/wiki/Hillsborough_County,_New_Hampshire" TargetMode="External"/><Relationship Id="rId4874" Type="http://schemas.openxmlformats.org/officeDocument/2006/relationships/hyperlink" Target="https://en.wikipedia.org/wiki/Tennessee" TargetMode="External"/><Relationship Id="rId2247" Type="http://schemas.openxmlformats.org/officeDocument/2006/relationships/hyperlink" Target="https://en.wikipedia.org/wiki/Caddo_Parish,_Louisiana" TargetMode="External"/><Relationship Id="rId3579" Type="http://schemas.openxmlformats.org/officeDocument/2006/relationships/hyperlink" Target="https://en.wikipedia.org/wiki/Morris_County,_New_Jersey" TargetMode="External"/><Relationship Id="rId2248" Type="http://schemas.openxmlformats.org/officeDocument/2006/relationships/hyperlink" Target="https://en.wikipedia.org/wiki/Louisiana" TargetMode="External"/><Relationship Id="rId3578" Type="http://schemas.openxmlformats.org/officeDocument/2006/relationships/hyperlink" Target="https://en.wikipedia.org/wiki/New_Jersey" TargetMode="External"/><Relationship Id="rId2249" Type="http://schemas.openxmlformats.org/officeDocument/2006/relationships/hyperlink" Target="https://en.wikipedia.org/wiki/Calcasieu_Parish,_Louisiana" TargetMode="External"/><Relationship Id="rId3571" Type="http://schemas.openxmlformats.org/officeDocument/2006/relationships/hyperlink" Target="https://en.wikipedia.org/wiki/Hunterdon_County,_New_Jersey" TargetMode="External"/><Relationship Id="rId2240" Type="http://schemas.openxmlformats.org/officeDocument/2006/relationships/hyperlink" Target="https://en.wikipedia.org/wiki/Louisiana" TargetMode="External"/><Relationship Id="rId3570" Type="http://schemas.openxmlformats.org/officeDocument/2006/relationships/hyperlink" Target="https://en.wikipedia.org/wiki/New_Jersey" TargetMode="External"/><Relationship Id="rId2241" Type="http://schemas.openxmlformats.org/officeDocument/2006/relationships/hyperlink" Target="https://en.wikipedia.org/wiki/Beauregard_Parish,_Louisiana" TargetMode="External"/><Relationship Id="rId3573" Type="http://schemas.openxmlformats.org/officeDocument/2006/relationships/hyperlink" Target="https://en.wikipedia.org/wiki/Mercer_County,_New_Jersey" TargetMode="External"/><Relationship Id="rId2242" Type="http://schemas.openxmlformats.org/officeDocument/2006/relationships/hyperlink" Target="https://en.wikipedia.org/wiki/Louisiana" TargetMode="External"/><Relationship Id="rId3572" Type="http://schemas.openxmlformats.org/officeDocument/2006/relationships/hyperlink" Target="https://en.wikipedia.org/wiki/New_Jersey" TargetMode="External"/><Relationship Id="rId2243" Type="http://schemas.openxmlformats.org/officeDocument/2006/relationships/hyperlink" Target="https://en.wikipedia.org/wiki/Bienville_Parish,_Louisiana" TargetMode="External"/><Relationship Id="rId3575" Type="http://schemas.openxmlformats.org/officeDocument/2006/relationships/hyperlink" Target="https://en.wikipedia.org/wiki/Middlesex_County,_New_Jersey" TargetMode="External"/><Relationship Id="rId2244" Type="http://schemas.openxmlformats.org/officeDocument/2006/relationships/hyperlink" Target="https://en.wikipedia.org/wiki/Louisiana" TargetMode="External"/><Relationship Id="rId3574" Type="http://schemas.openxmlformats.org/officeDocument/2006/relationships/hyperlink" Target="https://en.wikipedia.org/wiki/New_Jersey" TargetMode="External"/><Relationship Id="rId2245" Type="http://schemas.openxmlformats.org/officeDocument/2006/relationships/hyperlink" Target="https://en.wikipedia.org/wiki/Bossier_Parish,_Louisiana" TargetMode="External"/><Relationship Id="rId3577" Type="http://schemas.openxmlformats.org/officeDocument/2006/relationships/hyperlink" Target="https://en.wikipedia.org/wiki/Monmouth_County,_New_Jersey" TargetMode="External"/><Relationship Id="rId2246" Type="http://schemas.openxmlformats.org/officeDocument/2006/relationships/hyperlink" Target="https://en.wikipedia.org/wiki/Louisiana" TargetMode="External"/><Relationship Id="rId3576" Type="http://schemas.openxmlformats.org/officeDocument/2006/relationships/hyperlink" Target="https://en.wikipedia.org/wiki/New_Jersey" TargetMode="External"/><Relationship Id="rId2236" Type="http://schemas.openxmlformats.org/officeDocument/2006/relationships/hyperlink" Target="https://en.wikipedia.org/wiki/Louisiana" TargetMode="External"/><Relationship Id="rId3568" Type="http://schemas.openxmlformats.org/officeDocument/2006/relationships/hyperlink" Target="https://en.wikipedia.org/wiki/New_Jersey" TargetMode="External"/><Relationship Id="rId4899" Type="http://schemas.openxmlformats.org/officeDocument/2006/relationships/hyperlink" Target="https://en.wikipedia.org/wiki/Decatur_County,_Tennessee" TargetMode="External"/><Relationship Id="rId2237" Type="http://schemas.openxmlformats.org/officeDocument/2006/relationships/hyperlink" Target="https://en.wikipedia.org/wiki/Assumption_Parish,_Louisiana" TargetMode="External"/><Relationship Id="rId3567" Type="http://schemas.openxmlformats.org/officeDocument/2006/relationships/hyperlink" Target="https://en.wikipedia.org/wiki/Gloucester_County,_New_Jersey" TargetMode="External"/><Relationship Id="rId4898" Type="http://schemas.openxmlformats.org/officeDocument/2006/relationships/hyperlink" Target="https://en.wikipedia.org/wiki/Tennessee" TargetMode="External"/><Relationship Id="rId2238" Type="http://schemas.openxmlformats.org/officeDocument/2006/relationships/hyperlink" Target="https://en.wikipedia.org/wiki/Louisiana" TargetMode="External"/><Relationship Id="rId2239" Type="http://schemas.openxmlformats.org/officeDocument/2006/relationships/hyperlink" Target="https://en.wikipedia.org/wiki/Avoyelles_Parish,_Louisiana" TargetMode="External"/><Relationship Id="rId3569" Type="http://schemas.openxmlformats.org/officeDocument/2006/relationships/hyperlink" Target="https://en.wikipedia.org/wiki/Hudson_County,_New_Jersey" TargetMode="External"/><Relationship Id="rId3560" Type="http://schemas.openxmlformats.org/officeDocument/2006/relationships/hyperlink" Target="https://en.wikipedia.org/wiki/New_Jersey" TargetMode="External"/><Relationship Id="rId4891" Type="http://schemas.openxmlformats.org/officeDocument/2006/relationships/hyperlink" Target="https://en.wikipedia.org/wiki/Coffee_County,_Tennessee" TargetMode="External"/><Relationship Id="rId4890" Type="http://schemas.openxmlformats.org/officeDocument/2006/relationships/hyperlink" Target="https://en.wikipedia.org/wiki/Tennessee" TargetMode="External"/><Relationship Id="rId2230" Type="http://schemas.openxmlformats.org/officeDocument/2006/relationships/hyperlink" Target="https://en.wikipedia.org/wiki/Louisiana" TargetMode="External"/><Relationship Id="rId3562" Type="http://schemas.openxmlformats.org/officeDocument/2006/relationships/hyperlink" Target="https://en.wikipedia.org/wiki/New_Jersey" TargetMode="External"/><Relationship Id="rId4893" Type="http://schemas.openxmlformats.org/officeDocument/2006/relationships/hyperlink" Target="https://en.wikipedia.org/wiki/Crockett_County,_Tennessee" TargetMode="External"/><Relationship Id="rId2231" Type="http://schemas.openxmlformats.org/officeDocument/2006/relationships/hyperlink" Target="https://en.wikipedia.org/wiki/Acadia_Parish,_Louisiana" TargetMode="External"/><Relationship Id="rId3561" Type="http://schemas.openxmlformats.org/officeDocument/2006/relationships/hyperlink" Target="https://en.wikipedia.org/wiki/Cape_May_County,_New_Jersey" TargetMode="External"/><Relationship Id="rId4892" Type="http://schemas.openxmlformats.org/officeDocument/2006/relationships/hyperlink" Target="https://en.wikipedia.org/wiki/Tennessee" TargetMode="External"/><Relationship Id="rId2232" Type="http://schemas.openxmlformats.org/officeDocument/2006/relationships/hyperlink" Target="https://en.wikipedia.org/wiki/Louisiana" TargetMode="External"/><Relationship Id="rId3564" Type="http://schemas.openxmlformats.org/officeDocument/2006/relationships/hyperlink" Target="https://en.wikipedia.org/wiki/New_Jersey" TargetMode="External"/><Relationship Id="rId4895" Type="http://schemas.openxmlformats.org/officeDocument/2006/relationships/hyperlink" Target="https://en.wikipedia.org/wiki/Cumberland_County,_Tennessee" TargetMode="External"/><Relationship Id="rId2233" Type="http://schemas.openxmlformats.org/officeDocument/2006/relationships/hyperlink" Target="https://en.wikipedia.org/wiki/Allen_Parish,_Louisiana" TargetMode="External"/><Relationship Id="rId3563" Type="http://schemas.openxmlformats.org/officeDocument/2006/relationships/hyperlink" Target="https://en.wikipedia.org/wiki/Cumberland_County,_New_Jersey" TargetMode="External"/><Relationship Id="rId4894" Type="http://schemas.openxmlformats.org/officeDocument/2006/relationships/hyperlink" Target="https://en.wikipedia.org/wiki/Tennessee" TargetMode="External"/><Relationship Id="rId2234" Type="http://schemas.openxmlformats.org/officeDocument/2006/relationships/hyperlink" Target="https://en.wikipedia.org/wiki/Louisiana" TargetMode="External"/><Relationship Id="rId3566" Type="http://schemas.openxmlformats.org/officeDocument/2006/relationships/hyperlink" Target="https://en.wikipedia.org/wiki/New_Jersey" TargetMode="External"/><Relationship Id="rId4897" Type="http://schemas.openxmlformats.org/officeDocument/2006/relationships/hyperlink" Target="https://en.wikipedia.org/wiki/Davidson_County,_Tennessee" TargetMode="External"/><Relationship Id="rId2235" Type="http://schemas.openxmlformats.org/officeDocument/2006/relationships/hyperlink" Target="https://en.wikipedia.org/wiki/Ascension_Parish,_Louisiana" TargetMode="External"/><Relationship Id="rId3565" Type="http://schemas.openxmlformats.org/officeDocument/2006/relationships/hyperlink" Target="https://en.wikipedia.org/wiki/Essex_County,_New_Jersey" TargetMode="External"/><Relationship Id="rId4896" Type="http://schemas.openxmlformats.org/officeDocument/2006/relationships/hyperlink" Target="https://en.wikipedia.org/wiki/Tennessee" TargetMode="External"/><Relationship Id="rId2290" Type="http://schemas.openxmlformats.org/officeDocument/2006/relationships/hyperlink" Target="https://en.wikipedia.org/wiki/Louisiana" TargetMode="External"/><Relationship Id="rId2291" Type="http://schemas.openxmlformats.org/officeDocument/2006/relationships/hyperlink" Target="https://en.wikipedia.org/wiki/Lincoln_Parish,_Louisiana" TargetMode="External"/><Relationship Id="rId2292" Type="http://schemas.openxmlformats.org/officeDocument/2006/relationships/hyperlink" Target="https://en.wikipedia.org/wiki/Louisiana" TargetMode="External"/><Relationship Id="rId2293" Type="http://schemas.openxmlformats.org/officeDocument/2006/relationships/hyperlink" Target="https://en.wikipedia.org/wiki/Livingston_Parish,_Louisiana" TargetMode="External"/><Relationship Id="rId2294" Type="http://schemas.openxmlformats.org/officeDocument/2006/relationships/hyperlink" Target="https://en.wikipedia.org/wiki/Louisiana" TargetMode="External"/><Relationship Id="rId2295" Type="http://schemas.openxmlformats.org/officeDocument/2006/relationships/hyperlink" Target="https://en.wikipedia.org/wiki/Madison_Parish,_Louisiana" TargetMode="External"/><Relationship Id="rId2296" Type="http://schemas.openxmlformats.org/officeDocument/2006/relationships/hyperlink" Target="https://en.wikipedia.org/wiki/Louisiana" TargetMode="External"/><Relationship Id="rId2297" Type="http://schemas.openxmlformats.org/officeDocument/2006/relationships/hyperlink" Target="https://en.wikipedia.org/wiki/Morehouse_Parish,_Louisiana" TargetMode="External"/><Relationship Id="rId2298" Type="http://schemas.openxmlformats.org/officeDocument/2006/relationships/hyperlink" Target="https://en.wikipedia.org/wiki/Louisiana" TargetMode="External"/><Relationship Id="rId2299" Type="http://schemas.openxmlformats.org/officeDocument/2006/relationships/hyperlink" Target="https://en.wikipedia.org/wiki/Natchitoches_Parish,_Louisiana" TargetMode="External"/><Relationship Id="rId4901" Type="http://schemas.openxmlformats.org/officeDocument/2006/relationships/hyperlink" Target="https://en.wikipedia.org/wiki/DeKalb_County,_Tennessee" TargetMode="External"/><Relationship Id="rId4900" Type="http://schemas.openxmlformats.org/officeDocument/2006/relationships/hyperlink" Target="https://en.wikipedia.org/wiki/Tennessee" TargetMode="External"/><Relationship Id="rId4903" Type="http://schemas.openxmlformats.org/officeDocument/2006/relationships/hyperlink" Target="https://en.wikipedia.org/wiki/Dickson_County,_Tennessee" TargetMode="External"/><Relationship Id="rId4902" Type="http://schemas.openxmlformats.org/officeDocument/2006/relationships/hyperlink" Target="https://en.wikipedia.org/wiki/Tennessee" TargetMode="External"/><Relationship Id="rId4905" Type="http://schemas.openxmlformats.org/officeDocument/2006/relationships/hyperlink" Target="https://en.wikipedia.org/wiki/Dyer_County,_Tennessee" TargetMode="External"/><Relationship Id="rId4904" Type="http://schemas.openxmlformats.org/officeDocument/2006/relationships/hyperlink" Target="https://en.wikipedia.org/wiki/Tennessee" TargetMode="External"/><Relationship Id="rId4907" Type="http://schemas.openxmlformats.org/officeDocument/2006/relationships/hyperlink" Target="https://en.wikipedia.org/wiki/Fayette_County,_Tennessee" TargetMode="External"/><Relationship Id="rId4906" Type="http://schemas.openxmlformats.org/officeDocument/2006/relationships/hyperlink" Target="https://en.wikipedia.org/wiki/Tennessee" TargetMode="External"/><Relationship Id="rId4909" Type="http://schemas.openxmlformats.org/officeDocument/2006/relationships/hyperlink" Target="https://en.wikipedia.org/wiki/Fentress_County,_Tennessee" TargetMode="External"/><Relationship Id="rId4908" Type="http://schemas.openxmlformats.org/officeDocument/2006/relationships/hyperlink" Target="https://en.wikipedia.org/wiki/Tennessee" TargetMode="External"/><Relationship Id="rId2302" Type="http://schemas.openxmlformats.org/officeDocument/2006/relationships/hyperlink" Target="https://en.wikipedia.org/wiki/Louisiana" TargetMode="External"/><Relationship Id="rId3634" Type="http://schemas.openxmlformats.org/officeDocument/2006/relationships/hyperlink" Target="https://en.wikipedia.org/wiki/New_Mexico" TargetMode="External"/><Relationship Id="rId4965" Type="http://schemas.openxmlformats.org/officeDocument/2006/relationships/hyperlink" Target="https://en.wikipedia.org/wiki/Loudon_County,_Tennessee" TargetMode="External"/><Relationship Id="rId2303" Type="http://schemas.openxmlformats.org/officeDocument/2006/relationships/hyperlink" Target="https://en.wikipedia.org/wiki/Ouachita_Parish,_Louisiana" TargetMode="External"/><Relationship Id="rId3633" Type="http://schemas.openxmlformats.org/officeDocument/2006/relationships/hyperlink" Target="https://en.wikipedia.org/wiki/Otero_County,_New_Mexico" TargetMode="External"/><Relationship Id="rId4964" Type="http://schemas.openxmlformats.org/officeDocument/2006/relationships/hyperlink" Target="https://en.wikipedia.org/wiki/Tennessee" TargetMode="External"/><Relationship Id="rId2304" Type="http://schemas.openxmlformats.org/officeDocument/2006/relationships/hyperlink" Target="https://en.wikipedia.org/wiki/Louisiana" TargetMode="External"/><Relationship Id="rId3636" Type="http://schemas.openxmlformats.org/officeDocument/2006/relationships/hyperlink" Target="https://en.wikipedia.org/wiki/New_Mexico" TargetMode="External"/><Relationship Id="rId4967" Type="http://schemas.openxmlformats.org/officeDocument/2006/relationships/hyperlink" Target="https://en.wikipedia.org/wiki/McMinn_County,_Tennessee" TargetMode="External"/><Relationship Id="rId2305" Type="http://schemas.openxmlformats.org/officeDocument/2006/relationships/hyperlink" Target="https://en.wikipedia.org/wiki/Plaquemines_Parish,_Louisiana" TargetMode="External"/><Relationship Id="rId3635" Type="http://schemas.openxmlformats.org/officeDocument/2006/relationships/hyperlink" Target="https://en.wikipedia.org/wiki/Quay_County,_New_Mexico" TargetMode="External"/><Relationship Id="rId4966" Type="http://schemas.openxmlformats.org/officeDocument/2006/relationships/hyperlink" Target="https://en.wikipedia.org/wiki/Tennessee" TargetMode="External"/><Relationship Id="rId2306" Type="http://schemas.openxmlformats.org/officeDocument/2006/relationships/hyperlink" Target="https://en.wikipedia.org/wiki/Louisiana" TargetMode="External"/><Relationship Id="rId3638" Type="http://schemas.openxmlformats.org/officeDocument/2006/relationships/hyperlink" Target="https://en.wikipedia.org/wiki/New_Mexico" TargetMode="External"/><Relationship Id="rId4969" Type="http://schemas.openxmlformats.org/officeDocument/2006/relationships/hyperlink" Target="https://en.wikipedia.org/wiki/McNairy_County,_Tennessee" TargetMode="External"/><Relationship Id="rId2307" Type="http://schemas.openxmlformats.org/officeDocument/2006/relationships/hyperlink" Target="https://en.wikipedia.org/wiki/Pointe_Coupee_Parish,_Louisiana" TargetMode="External"/><Relationship Id="rId3637" Type="http://schemas.openxmlformats.org/officeDocument/2006/relationships/hyperlink" Target="https://en.wikipedia.org/wiki/Rio_Arriba_County,_New_Mexico" TargetMode="External"/><Relationship Id="rId4968" Type="http://schemas.openxmlformats.org/officeDocument/2006/relationships/hyperlink" Target="https://en.wikipedia.org/wiki/Tennessee" TargetMode="External"/><Relationship Id="rId2308" Type="http://schemas.openxmlformats.org/officeDocument/2006/relationships/hyperlink" Target="https://en.wikipedia.org/wiki/Louisiana" TargetMode="External"/><Relationship Id="rId2309" Type="http://schemas.openxmlformats.org/officeDocument/2006/relationships/hyperlink" Target="https://en.wikipedia.org/wiki/Rapides_Parish,_Louisiana" TargetMode="External"/><Relationship Id="rId3639" Type="http://schemas.openxmlformats.org/officeDocument/2006/relationships/hyperlink" Target="https://en.wikipedia.org/wiki/Roosevelt_County,_New_Mexico" TargetMode="External"/><Relationship Id="rId3630" Type="http://schemas.openxmlformats.org/officeDocument/2006/relationships/hyperlink" Target="https://en.wikipedia.org/wiki/New_Mexico" TargetMode="External"/><Relationship Id="rId4961" Type="http://schemas.openxmlformats.org/officeDocument/2006/relationships/hyperlink" Target="https://en.wikipedia.org/wiki/Lewis_County,_Tennessee" TargetMode="External"/><Relationship Id="rId4960" Type="http://schemas.openxmlformats.org/officeDocument/2006/relationships/hyperlink" Target="https://en.wikipedia.org/wiki/Tennessee" TargetMode="External"/><Relationship Id="rId2300" Type="http://schemas.openxmlformats.org/officeDocument/2006/relationships/hyperlink" Target="https://en.wikipedia.org/wiki/Louisiana" TargetMode="External"/><Relationship Id="rId3632" Type="http://schemas.openxmlformats.org/officeDocument/2006/relationships/hyperlink" Target="https://en.wikipedia.org/wiki/New_Mexico" TargetMode="External"/><Relationship Id="rId4963" Type="http://schemas.openxmlformats.org/officeDocument/2006/relationships/hyperlink" Target="https://en.wikipedia.org/wiki/Lincoln_County,_Tennessee" TargetMode="External"/><Relationship Id="rId2301" Type="http://schemas.openxmlformats.org/officeDocument/2006/relationships/hyperlink" Target="https://en.wikipedia.org/wiki/Orleans_Parish,_Louisiana" TargetMode="External"/><Relationship Id="rId3631" Type="http://schemas.openxmlformats.org/officeDocument/2006/relationships/hyperlink" Target="https://en.wikipedia.org/wiki/Mora_County,_New_Mexico" TargetMode="External"/><Relationship Id="rId4962" Type="http://schemas.openxmlformats.org/officeDocument/2006/relationships/hyperlink" Target="https://en.wikipedia.org/wiki/Tennessee" TargetMode="External"/><Relationship Id="rId3623" Type="http://schemas.openxmlformats.org/officeDocument/2006/relationships/hyperlink" Target="https://en.wikipedia.org/wiki/Lincoln_County,_New_Mexico" TargetMode="External"/><Relationship Id="rId4954" Type="http://schemas.openxmlformats.org/officeDocument/2006/relationships/hyperlink" Target="https://en.wikipedia.org/wiki/Tennessee" TargetMode="External"/><Relationship Id="rId3622" Type="http://schemas.openxmlformats.org/officeDocument/2006/relationships/hyperlink" Target="https://en.wikipedia.org/wiki/New_Mexico" TargetMode="External"/><Relationship Id="rId4953" Type="http://schemas.openxmlformats.org/officeDocument/2006/relationships/hyperlink" Target="https://en.wikipedia.org/wiki/Knox_County,_Tennessee" TargetMode="External"/><Relationship Id="rId3625" Type="http://schemas.openxmlformats.org/officeDocument/2006/relationships/hyperlink" Target="https://en.wikipedia.org/wiki/Los_Alamos_County,_New_Mexico" TargetMode="External"/><Relationship Id="rId4956" Type="http://schemas.openxmlformats.org/officeDocument/2006/relationships/hyperlink" Target="https://en.wikipedia.org/wiki/Tennessee" TargetMode="External"/><Relationship Id="rId3624" Type="http://schemas.openxmlformats.org/officeDocument/2006/relationships/hyperlink" Target="https://en.wikipedia.org/wiki/New_Mexico" TargetMode="External"/><Relationship Id="rId4955" Type="http://schemas.openxmlformats.org/officeDocument/2006/relationships/hyperlink" Target="https://en.wikipedia.org/wiki/Lake_County,_Tennessee" TargetMode="External"/><Relationship Id="rId3627" Type="http://schemas.openxmlformats.org/officeDocument/2006/relationships/hyperlink" Target="https://en.wikipedia.org/wiki/Luna_County,_New_Mexico" TargetMode="External"/><Relationship Id="rId4958" Type="http://schemas.openxmlformats.org/officeDocument/2006/relationships/hyperlink" Target="https://en.wikipedia.org/wiki/Tennessee" TargetMode="External"/><Relationship Id="rId3626" Type="http://schemas.openxmlformats.org/officeDocument/2006/relationships/hyperlink" Target="https://en.wikipedia.org/wiki/New_Mexico" TargetMode="External"/><Relationship Id="rId4957" Type="http://schemas.openxmlformats.org/officeDocument/2006/relationships/hyperlink" Target="https://en.wikipedia.org/wiki/Lauderdale_County,_Tennessee" TargetMode="External"/><Relationship Id="rId3629" Type="http://schemas.openxmlformats.org/officeDocument/2006/relationships/hyperlink" Target="https://en.wikipedia.org/wiki/McKinley_County,_New_Mexico" TargetMode="External"/><Relationship Id="rId3628" Type="http://schemas.openxmlformats.org/officeDocument/2006/relationships/hyperlink" Target="https://en.wikipedia.org/wiki/New_Mexico" TargetMode="External"/><Relationship Id="rId4959" Type="http://schemas.openxmlformats.org/officeDocument/2006/relationships/hyperlink" Target="https://en.wikipedia.org/wiki/Lawrence_County,_Tennessee" TargetMode="External"/><Relationship Id="rId4950" Type="http://schemas.openxmlformats.org/officeDocument/2006/relationships/hyperlink" Target="https://en.wikipedia.org/wiki/Tennessee" TargetMode="External"/><Relationship Id="rId3621" Type="http://schemas.openxmlformats.org/officeDocument/2006/relationships/hyperlink" Target="https://en.wikipedia.org/wiki/Lea_County,_New_Mexico" TargetMode="External"/><Relationship Id="rId4952" Type="http://schemas.openxmlformats.org/officeDocument/2006/relationships/hyperlink" Target="https://en.wikipedia.org/wiki/Tennessee" TargetMode="External"/><Relationship Id="rId3620" Type="http://schemas.openxmlformats.org/officeDocument/2006/relationships/hyperlink" Target="https://en.wikipedia.org/wiki/New_Mexico" TargetMode="External"/><Relationship Id="rId4951" Type="http://schemas.openxmlformats.org/officeDocument/2006/relationships/hyperlink" Target="https://en.wikipedia.org/wiki/Johnson_County,_Tennessee" TargetMode="External"/><Relationship Id="rId2324" Type="http://schemas.openxmlformats.org/officeDocument/2006/relationships/hyperlink" Target="https://en.wikipedia.org/wiki/Louisiana" TargetMode="External"/><Relationship Id="rId3656" Type="http://schemas.openxmlformats.org/officeDocument/2006/relationships/hyperlink" Target="https://en.wikipedia.org/wiki/New_Mexico" TargetMode="External"/><Relationship Id="rId4987" Type="http://schemas.openxmlformats.org/officeDocument/2006/relationships/hyperlink" Target="https://en.wikipedia.org/wiki/Moore_County,_Tennessee" TargetMode="External"/><Relationship Id="rId2325" Type="http://schemas.openxmlformats.org/officeDocument/2006/relationships/hyperlink" Target="https://en.wikipedia.org/wiki/St._John_the_Baptist_Parish,_Louisiana" TargetMode="External"/><Relationship Id="rId3655" Type="http://schemas.openxmlformats.org/officeDocument/2006/relationships/hyperlink" Target="https://en.wikipedia.org/wiki/Torrance_County,_New_Mexico" TargetMode="External"/><Relationship Id="rId4986" Type="http://schemas.openxmlformats.org/officeDocument/2006/relationships/hyperlink" Target="https://en.wikipedia.org/wiki/Tennessee" TargetMode="External"/><Relationship Id="rId2326" Type="http://schemas.openxmlformats.org/officeDocument/2006/relationships/hyperlink" Target="https://en.wikipedia.org/wiki/Louisiana" TargetMode="External"/><Relationship Id="rId3658" Type="http://schemas.openxmlformats.org/officeDocument/2006/relationships/hyperlink" Target="https://en.wikipedia.org/wiki/New_Mexico" TargetMode="External"/><Relationship Id="rId4989" Type="http://schemas.openxmlformats.org/officeDocument/2006/relationships/hyperlink" Target="https://en.wikipedia.org/wiki/Morgan_County,_Tennessee" TargetMode="External"/><Relationship Id="rId2327" Type="http://schemas.openxmlformats.org/officeDocument/2006/relationships/hyperlink" Target="https://en.wikipedia.org/wiki/St._Landry_Parish,_Louisiana" TargetMode="External"/><Relationship Id="rId3657" Type="http://schemas.openxmlformats.org/officeDocument/2006/relationships/hyperlink" Target="https://en.wikipedia.org/wiki/Union_County,_New_Mexico" TargetMode="External"/><Relationship Id="rId4988" Type="http://schemas.openxmlformats.org/officeDocument/2006/relationships/hyperlink" Target="https://en.wikipedia.org/wiki/Tennessee" TargetMode="External"/><Relationship Id="rId2328" Type="http://schemas.openxmlformats.org/officeDocument/2006/relationships/hyperlink" Target="https://en.wikipedia.org/wiki/Louisiana" TargetMode="External"/><Relationship Id="rId2329" Type="http://schemas.openxmlformats.org/officeDocument/2006/relationships/hyperlink" Target="https://en.wikipedia.org/wiki/St._Martin_Parish,_Louisiana" TargetMode="External"/><Relationship Id="rId3659" Type="http://schemas.openxmlformats.org/officeDocument/2006/relationships/hyperlink" Target="https://en.wikipedia.org/wiki/Valencia_County,_New_Mexico" TargetMode="External"/><Relationship Id="rId3650" Type="http://schemas.openxmlformats.org/officeDocument/2006/relationships/hyperlink" Target="https://en.wikipedia.org/wiki/New_Mexico" TargetMode="External"/><Relationship Id="rId4981" Type="http://schemas.openxmlformats.org/officeDocument/2006/relationships/hyperlink" Target="https://en.wikipedia.org/wiki/Meigs_County,_Tennessee" TargetMode="External"/><Relationship Id="rId4980" Type="http://schemas.openxmlformats.org/officeDocument/2006/relationships/hyperlink" Target="https://en.wikipedia.org/wiki/Tennessee" TargetMode="External"/><Relationship Id="rId2320" Type="http://schemas.openxmlformats.org/officeDocument/2006/relationships/hyperlink" Target="https://en.wikipedia.org/wiki/Louisiana" TargetMode="External"/><Relationship Id="rId3652" Type="http://schemas.openxmlformats.org/officeDocument/2006/relationships/hyperlink" Target="https://en.wikipedia.org/wiki/New_Mexico" TargetMode="External"/><Relationship Id="rId4983" Type="http://schemas.openxmlformats.org/officeDocument/2006/relationships/hyperlink" Target="https://en.wikipedia.org/wiki/Monroe_County,_Tennessee" TargetMode="External"/><Relationship Id="rId2321" Type="http://schemas.openxmlformats.org/officeDocument/2006/relationships/hyperlink" Target="https://en.wikipedia.org/wiki/St._Helena_Parish,_Louisiana" TargetMode="External"/><Relationship Id="rId3651" Type="http://schemas.openxmlformats.org/officeDocument/2006/relationships/hyperlink" Target="https://en.wikipedia.org/wiki/Socorro_County,_New_Mexico" TargetMode="External"/><Relationship Id="rId4982" Type="http://schemas.openxmlformats.org/officeDocument/2006/relationships/hyperlink" Target="https://en.wikipedia.org/wiki/Tennessee" TargetMode="External"/><Relationship Id="rId2322" Type="http://schemas.openxmlformats.org/officeDocument/2006/relationships/hyperlink" Target="https://en.wikipedia.org/wiki/Louisiana" TargetMode="External"/><Relationship Id="rId3654" Type="http://schemas.openxmlformats.org/officeDocument/2006/relationships/hyperlink" Target="https://en.wikipedia.org/wiki/New_Mexico" TargetMode="External"/><Relationship Id="rId4985" Type="http://schemas.openxmlformats.org/officeDocument/2006/relationships/hyperlink" Target="https://en.wikipedia.org/wiki/Montgomery_County,_Tennessee" TargetMode="External"/><Relationship Id="rId2323" Type="http://schemas.openxmlformats.org/officeDocument/2006/relationships/hyperlink" Target="https://en.wikipedia.org/wiki/St._James_Parish,_Louisiana" TargetMode="External"/><Relationship Id="rId3653" Type="http://schemas.openxmlformats.org/officeDocument/2006/relationships/hyperlink" Target="https://en.wikipedia.org/wiki/Taos_County,_New_Mexico" TargetMode="External"/><Relationship Id="rId4984" Type="http://schemas.openxmlformats.org/officeDocument/2006/relationships/hyperlink" Target="https://en.wikipedia.org/wiki/Tennessee" TargetMode="External"/><Relationship Id="rId2313" Type="http://schemas.openxmlformats.org/officeDocument/2006/relationships/hyperlink" Target="https://en.wikipedia.org/wiki/Richland_Parish,_Louisiana" TargetMode="External"/><Relationship Id="rId3645" Type="http://schemas.openxmlformats.org/officeDocument/2006/relationships/hyperlink" Target="https://en.wikipedia.org/wiki/San_Miguel_County,_New_Mexico" TargetMode="External"/><Relationship Id="rId4976" Type="http://schemas.openxmlformats.org/officeDocument/2006/relationships/hyperlink" Target="https://en.wikipedia.org/wiki/Tennessee" TargetMode="External"/><Relationship Id="rId2314" Type="http://schemas.openxmlformats.org/officeDocument/2006/relationships/hyperlink" Target="https://en.wikipedia.org/wiki/Louisiana" TargetMode="External"/><Relationship Id="rId3644" Type="http://schemas.openxmlformats.org/officeDocument/2006/relationships/hyperlink" Target="https://en.wikipedia.org/wiki/New_Mexico" TargetMode="External"/><Relationship Id="rId4975" Type="http://schemas.openxmlformats.org/officeDocument/2006/relationships/hyperlink" Target="https://en.wikipedia.org/wiki/Marion_County,_Tennessee" TargetMode="External"/><Relationship Id="rId2315" Type="http://schemas.openxmlformats.org/officeDocument/2006/relationships/hyperlink" Target="https://en.wikipedia.org/wiki/Sabine_Parish,_Louisiana" TargetMode="External"/><Relationship Id="rId3647" Type="http://schemas.openxmlformats.org/officeDocument/2006/relationships/hyperlink" Target="https://en.wikipedia.org/wiki/Santa_Fe_County,_New_Mexico" TargetMode="External"/><Relationship Id="rId4978" Type="http://schemas.openxmlformats.org/officeDocument/2006/relationships/hyperlink" Target="https://en.wikipedia.org/wiki/Tennessee" TargetMode="External"/><Relationship Id="rId2316" Type="http://schemas.openxmlformats.org/officeDocument/2006/relationships/hyperlink" Target="https://en.wikipedia.org/wiki/Louisiana" TargetMode="External"/><Relationship Id="rId3646" Type="http://schemas.openxmlformats.org/officeDocument/2006/relationships/hyperlink" Target="https://en.wikipedia.org/wiki/New_Mexico" TargetMode="External"/><Relationship Id="rId4977" Type="http://schemas.openxmlformats.org/officeDocument/2006/relationships/hyperlink" Target="https://en.wikipedia.org/wiki/Marshall_County,_Tennessee" TargetMode="External"/><Relationship Id="rId2317" Type="http://schemas.openxmlformats.org/officeDocument/2006/relationships/hyperlink" Target="https://en.wikipedia.org/wiki/St._Bernard_Parish,_Louisiana" TargetMode="External"/><Relationship Id="rId3649" Type="http://schemas.openxmlformats.org/officeDocument/2006/relationships/hyperlink" Target="https://en.wikipedia.org/wiki/Sierra_County,_New_Mexico" TargetMode="External"/><Relationship Id="rId2318" Type="http://schemas.openxmlformats.org/officeDocument/2006/relationships/hyperlink" Target="https://en.wikipedia.org/wiki/Louisiana" TargetMode="External"/><Relationship Id="rId3648" Type="http://schemas.openxmlformats.org/officeDocument/2006/relationships/hyperlink" Target="https://en.wikipedia.org/wiki/New_Mexico" TargetMode="External"/><Relationship Id="rId4979" Type="http://schemas.openxmlformats.org/officeDocument/2006/relationships/hyperlink" Target="https://en.wikipedia.org/wiki/Maury_County,_Tennessee" TargetMode="External"/><Relationship Id="rId2319" Type="http://schemas.openxmlformats.org/officeDocument/2006/relationships/hyperlink" Target="https://en.wikipedia.org/wiki/St._Charles_Parish,_Louisiana" TargetMode="External"/><Relationship Id="rId4970" Type="http://schemas.openxmlformats.org/officeDocument/2006/relationships/hyperlink" Target="https://en.wikipedia.org/wiki/Tennessee" TargetMode="External"/><Relationship Id="rId3641" Type="http://schemas.openxmlformats.org/officeDocument/2006/relationships/hyperlink" Target="https://en.wikipedia.org/wiki/Sandoval_County,_New_Mexico" TargetMode="External"/><Relationship Id="rId4972" Type="http://schemas.openxmlformats.org/officeDocument/2006/relationships/hyperlink" Target="https://en.wikipedia.org/wiki/Tennessee" TargetMode="External"/><Relationship Id="rId2310" Type="http://schemas.openxmlformats.org/officeDocument/2006/relationships/hyperlink" Target="https://en.wikipedia.org/wiki/Louisiana" TargetMode="External"/><Relationship Id="rId3640" Type="http://schemas.openxmlformats.org/officeDocument/2006/relationships/hyperlink" Target="https://en.wikipedia.org/wiki/New_Mexico" TargetMode="External"/><Relationship Id="rId4971" Type="http://schemas.openxmlformats.org/officeDocument/2006/relationships/hyperlink" Target="https://en.wikipedia.org/wiki/Macon_County,_Tennessee" TargetMode="External"/><Relationship Id="rId2311" Type="http://schemas.openxmlformats.org/officeDocument/2006/relationships/hyperlink" Target="https://en.wikipedia.org/wiki/Red_River_Parish,_Louisiana" TargetMode="External"/><Relationship Id="rId3643" Type="http://schemas.openxmlformats.org/officeDocument/2006/relationships/hyperlink" Target="https://en.wikipedia.org/wiki/San_Juan_County,_New_Mexico" TargetMode="External"/><Relationship Id="rId4974" Type="http://schemas.openxmlformats.org/officeDocument/2006/relationships/hyperlink" Target="https://en.wikipedia.org/wiki/Tennessee" TargetMode="External"/><Relationship Id="rId2312" Type="http://schemas.openxmlformats.org/officeDocument/2006/relationships/hyperlink" Target="https://en.wikipedia.org/wiki/Louisiana" TargetMode="External"/><Relationship Id="rId3642" Type="http://schemas.openxmlformats.org/officeDocument/2006/relationships/hyperlink" Target="https://en.wikipedia.org/wiki/New_Mexico" TargetMode="External"/><Relationship Id="rId4973" Type="http://schemas.openxmlformats.org/officeDocument/2006/relationships/hyperlink" Target="https://en.wikipedia.org/wiki/Madison_County,_Tennessee" TargetMode="External"/><Relationship Id="rId4921" Type="http://schemas.openxmlformats.org/officeDocument/2006/relationships/hyperlink" Target="https://en.wikipedia.org/wiki/Grundy_County,_Tennessee" TargetMode="External"/><Relationship Id="rId4920" Type="http://schemas.openxmlformats.org/officeDocument/2006/relationships/hyperlink" Target="https://en.wikipedia.org/wiki/Tennessee" TargetMode="External"/><Relationship Id="rId4923" Type="http://schemas.openxmlformats.org/officeDocument/2006/relationships/hyperlink" Target="https://en.wikipedia.org/wiki/Hamblen_County,_Tennessee" TargetMode="External"/><Relationship Id="rId4922" Type="http://schemas.openxmlformats.org/officeDocument/2006/relationships/hyperlink" Target="https://en.wikipedia.org/wiki/Tennessee" TargetMode="External"/><Relationship Id="rId4925" Type="http://schemas.openxmlformats.org/officeDocument/2006/relationships/hyperlink" Target="https://en.wikipedia.org/wiki/Hamilton_County,_Tennessee" TargetMode="External"/><Relationship Id="rId4924" Type="http://schemas.openxmlformats.org/officeDocument/2006/relationships/hyperlink" Target="https://en.wikipedia.org/wiki/Tennessee" TargetMode="External"/><Relationship Id="rId4927" Type="http://schemas.openxmlformats.org/officeDocument/2006/relationships/hyperlink" Target="https://en.wikipedia.org/wiki/Hancock_County,_Tennessee" TargetMode="External"/><Relationship Id="rId4926" Type="http://schemas.openxmlformats.org/officeDocument/2006/relationships/hyperlink" Target="https://en.wikipedia.org/wiki/Tennessee" TargetMode="External"/><Relationship Id="rId4929" Type="http://schemas.openxmlformats.org/officeDocument/2006/relationships/hyperlink" Target="https://en.wikipedia.org/wiki/Hardeman_County,_Tennessee" TargetMode="External"/><Relationship Id="rId4928" Type="http://schemas.openxmlformats.org/officeDocument/2006/relationships/hyperlink" Target="https://en.wikipedia.org/wiki/Tennessee" TargetMode="External"/><Relationship Id="rId4910" Type="http://schemas.openxmlformats.org/officeDocument/2006/relationships/hyperlink" Target="https://en.wikipedia.org/wiki/Tennessee" TargetMode="External"/><Relationship Id="rId4912" Type="http://schemas.openxmlformats.org/officeDocument/2006/relationships/hyperlink" Target="https://en.wikipedia.org/wiki/Tennessee" TargetMode="External"/><Relationship Id="rId4911" Type="http://schemas.openxmlformats.org/officeDocument/2006/relationships/hyperlink" Target="https://en.wikipedia.org/wiki/Franklin_County,_Tennessee" TargetMode="External"/><Relationship Id="rId4914" Type="http://schemas.openxmlformats.org/officeDocument/2006/relationships/hyperlink" Target="https://en.wikipedia.org/wiki/Tennessee" TargetMode="External"/><Relationship Id="rId4913" Type="http://schemas.openxmlformats.org/officeDocument/2006/relationships/hyperlink" Target="https://en.wikipedia.org/wiki/Gibson_County,_Tennessee" TargetMode="External"/><Relationship Id="rId4916" Type="http://schemas.openxmlformats.org/officeDocument/2006/relationships/hyperlink" Target="https://en.wikipedia.org/wiki/Tennessee" TargetMode="External"/><Relationship Id="rId4915" Type="http://schemas.openxmlformats.org/officeDocument/2006/relationships/hyperlink" Target="https://en.wikipedia.org/wiki/Giles_County,_Tennessee" TargetMode="External"/><Relationship Id="rId4918" Type="http://schemas.openxmlformats.org/officeDocument/2006/relationships/hyperlink" Target="https://en.wikipedia.org/wiki/Tennessee" TargetMode="External"/><Relationship Id="rId4917" Type="http://schemas.openxmlformats.org/officeDocument/2006/relationships/hyperlink" Target="https://en.wikipedia.org/wiki/Grainger_County,_Tennessee" TargetMode="External"/><Relationship Id="rId4919" Type="http://schemas.openxmlformats.org/officeDocument/2006/relationships/hyperlink" Target="https://en.wikipedia.org/wiki/Greene_County,_Tennessee" TargetMode="External"/><Relationship Id="rId3612" Type="http://schemas.openxmlformats.org/officeDocument/2006/relationships/hyperlink" Target="https://en.wikipedia.org/wiki/New_Mexico" TargetMode="External"/><Relationship Id="rId4943" Type="http://schemas.openxmlformats.org/officeDocument/2006/relationships/hyperlink" Target="https://en.wikipedia.org/wiki/Houston_County,_Tennessee" TargetMode="External"/><Relationship Id="rId3611" Type="http://schemas.openxmlformats.org/officeDocument/2006/relationships/hyperlink" Target="https://en.wikipedia.org/wiki/Eddy_County,_New_Mexico" TargetMode="External"/><Relationship Id="rId4942" Type="http://schemas.openxmlformats.org/officeDocument/2006/relationships/hyperlink" Target="https://en.wikipedia.org/wiki/Tennessee" TargetMode="External"/><Relationship Id="rId3614" Type="http://schemas.openxmlformats.org/officeDocument/2006/relationships/hyperlink" Target="https://en.wikipedia.org/wiki/New_Mexico" TargetMode="External"/><Relationship Id="rId4945" Type="http://schemas.openxmlformats.org/officeDocument/2006/relationships/hyperlink" Target="https://en.wikipedia.org/wiki/Humphreys_County,_Tennessee" TargetMode="External"/><Relationship Id="rId3613" Type="http://schemas.openxmlformats.org/officeDocument/2006/relationships/hyperlink" Target="https://en.wikipedia.org/wiki/Grant_County,_New_Mexico" TargetMode="External"/><Relationship Id="rId4944" Type="http://schemas.openxmlformats.org/officeDocument/2006/relationships/hyperlink" Target="https://en.wikipedia.org/wiki/Tennessee" TargetMode="External"/><Relationship Id="rId3616" Type="http://schemas.openxmlformats.org/officeDocument/2006/relationships/hyperlink" Target="https://en.wikipedia.org/wiki/New_Mexico" TargetMode="External"/><Relationship Id="rId4947" Type="http://schemas.openxmlformats.org/officeDocument/2006/relationships/hyperlink" Target="https://en.wikipedia.org/wiki/Jackson_County,_Tennessee" TargetMode="External"/><Relationship Id="rId3615" Type="http://schemas.openxmlformats.org/officeDocument/2006/relationships/hyperlink" Target="https://en.wikipedia.org/wiki/Guadalupe_County,_New_Mexico" TargetMode="External"/><Relationship Id="rId4946" Type="http://schemas.openxmlformats.org/officeDocument/2006/relationships/hyperlink" Target="https://en.wikipedia.org/wiki/Tennessee" TargetMode="External"/><Relationship Id="rId3618" Type="http://schemas.openxmlformats.org/officeDocument/2006/relationships/hyperlink" Target="https://en.wikipedia.org/wiki/New_Mexico" TargetMode="External"/><Relationship Id="rId4949" Type="http://schemas.openxmlformats.org/officeDocument/2006/relationships/hyperlink" Target="https://en.wikipedia.org/wiki/Jefferson_County,_Tennessee" TargetMode="External"/><Relationship Id="rId3617" Type="http://schemas.openxmlformats.org/officeDocument/2006/relationships/hyperlink" Target="https://en.wikipedia.org/wiki/Harding_County,_New_Mexico" TargetMode="External"/><Relationship Id="rId4948" Type="http://schemas.openxmlformats.org/officeDocument/2006/relationships/hyperlink" Target="https://en.wikipedia.org/wiki/Tennessee" TargetMode="External"/><Relationship Id="rId3619" Type="http://schemas.openxmlformats.org/officeDocument/2006/relationships/hyperlink" Target="https://en.wikipedia.org/wiki/Hidalgo_County,_New_Mexico" TargetMode="External"/><Relationship Id="rId3610" Type="http://schemas.openxmlformats.org/officeDocument/2006/relationships/hyperlink" Target="https://en.wikipedia.org/wiki/New_Mexico" TargetMode="External"/><Relationship Id="rId4941" Type="http://schemas.openxmlformats.org/officeDocument/2006/relationships/hyperlink" Target="https://en.wikipedia.org/wiki/Hickman_County,_Tennessee" TargetMode="External"/><Relationship Id="rId4940" Type="http://schemas.openxmlformats.org/officeDocument/2006/relationships/hyperlink" Target="https://en.wikipedia.org/wiki/Tennessee" TargetMode="External"/><Relationship Id="rId3601" Type="http://schemas.openxmlformats.org/officeDocument/2006/relationships/hyperlink" Target="https://en.wikipedia.org/wiki/Cibola_County,_New_Mexico" TargetMode="External"/><Relationship Id="rId4932" Type="http://schemas.openxmlformats.org/officeDocument/2006/relationships/hyperlink" Target="https://en.wikipedia.org/wiki/Tennessee" TargetMode="External"/><Relationship Id="rId3600" Type="http://schemas.openxmlformats.org/officeDocument/2006/relationships/hyperlink" Target="https://en.wikipedia.org/wiki/New_Mexico" TargetMode="External"/><Relationship Id="rId4931" Type="http://schemas.openxmlformats.org/officeDocument/2006/relationships/hyperlink" Target="https://en.wikipedia.org/wiki/Hardin_County,_Tennessee" TargetMode="External"/><Relationship Id="rId3603" Type="http://schemas.openxmlformats.org/officeDocument/2006/relationships/hyperlink" Target="https://en.wikipedia.org/wiki/Colfax_County,_New_Mexico" TargetMode="External"/><Relationship Id="rId4934" Type="http://schemas.openxmlformats.org/officeDocument/2006/relationships/hyperlink" Target="https://en.wikipedia.org/wiki/Tennessee" TargetMode="External"/><Relationship Id="rId3602" Type="http://schemas.openxmlformats.org/officeDocument/2006/relationships/hyperlink" Target="https://en.wikipedia.org/wiki/New_Mexico" TargetMode="External"/><Relationship Id="rId4933" Type="http://schemas.openxmlformats.org/officeDocument/2006/relationships/hyperlink" Target="https://en.wikipedia.org/wiki/Hawkins_County,_Tennessee" TargetMode="External"/><Relationship Id="rId3605" Type="http://schemas.openxmlformats.org/officeDocument/2006/relationships/hyperlink" Target="https://en.wikipedia.org/wiki/Curry_County,_New_Mexico" TargetMode="External"/><Relationship Id="rId4936" Type="http://schemas.openxmlformats.org/officeDocument/2006/relationships/hyperlink" Target="https://en.wikipedia.org/wiki/Tennessee" TargetMode="External"/><Relationship Id="rId3604" Type="http://schemas.openxmlformats.org/officeDocument/2006/relationships/hyperlink" Target="https://en.wikipedia.org/wiki/New_Mexico" TargetMode="External"/><Relationship Id="rId4935" Type="http://schemas.openxmlformats.org/officeDocument/2006/relationships/hyperlink" Target="https://en.wikipedia.org/wiki/Haywood_County,_Tennessee" TargetMode="External"/><Relationship Id="rId3607" Type="http://schemas.openxmlformats.org/officeDocument/2006/relationships/hyperlink" Target="https://en.wikipedia.org/wiki/De_Baca_County,_New_Mexico" TargetMode="External"/><Relationship Id="rId4938" Type="http://schemas.openxmlformats.org/officeDocument/2006/relationships/hyperlink" Target="https://en.wikipedia.org/wiki/Tennessee" TargetMode="External"/><Relationship Id="rId3606" Type="http://schemas.openxmlformats.org/officeDocument/2006/relationships/hyperlink" Target="https://en.wikipedia.org/wiki/New_Mexico" TargetMode="External"/><Relationship Id="rId4937" Type="http://schemas.openxmlformats.org/officeDocument/2006/relationships/hyperlink" Target="https://en.wikipedia.org/wiki/Henderson_County,_Tennessee" TargetMode="External"/><Relationship Id="rId3609" Type="http://schemas.openxmlformats.org/officeDocument/2006/relationships/hyperlink" Target="https://en.wikipedia.org/wiki/Dona_Ana_County,_New_Mexico" TargetMode="External"/><Relationship Id="rId3608" Type="http://schemas.openxmlformats.org/officeDocument/2006/relationships/hyperlink" Target="https://en.wikipedia.org/wiki/New_Mexico" TargetMode="External"/><Relationship Id="rId4939" Type="http://schemas.openxmlformats.org/officeDocument/2006/relationships/hyperlink" Target="https://en.wikipedia.org/wiki/Henry_County,_Tennessee" TargetMode="External"/><Relationship Id="rId4930" Type="http://schemas.openxmlformats.org/officeDocument/2006/relationships/hyperlink" Target="https://en.wikipedia.org/wiki/Tennessee" TargetMode="External"/><Relationship Id="rId1059" Type="http://schemas.openxmlformats.org/officeDocument/2006/relationships/hyperlink" Target="https://en.wikipedia.org/wiki/Troup_County,_Georgia" TargetMode="External"/><Relationship Id="rId2380" Type="http://schemas.openxmlformats.org/officeDocument/2006/relationships/hyperlink" Target="https://en.wikipedia.org/wiki/Maine" TargetMode="External"/><Relationship Id="rId1050" Type="http://schemas.openxmlformats.org/officeDocument/2006/relationships/hyperlink" Target="https://en.wikipedia.org/wiki/Georgia_(U.S._state)" TargetMode="External"/><Relationship Id="rId2381" Type="http://schemas.openxmlformats.org/officeDocument/2006/relationships/hyperlink" Target="https://en.wikipedia.org/wiki/Sagadahoc_County,_Maine" TargetMode="External"/><Relationship Id="rId1051" Type="http://schemas.openxmlformats.org/officeDocument/2006/relationships/hyperlink" Target="https://en.wikipedia.org/wiki/Tift_County,_Georgia" TargetMode="External"/><Relationship Id="rId2382" Type="http://schemas.openxmlformats.org/officeDocument/2006/relationships/hyperlink" Target="https://en.wikipedia.org/wiki/Maine" TargetMode="External"/><Relationship Id="rId1052" Type="http://schemas.openxmlformats.org/officeDocument/2006/relationships/hyperlink" Target="https://en.wikipedia.org/wiki/Georgia_(U.S._state)" TargetMode="External"/><Relationship Id="rId2383" Type="http://schemas.openxmlformats.org/officeDocument/2006/relationships/hyperlink" Target="https://en.wikipedia.org/wiki/Somerset_County,_Maine" TargetMode="External"/><Relationship Id="rId1053" Type="http://schemas.openxmlformats.org/officeDocument/2006/relationships/hyperlink" Target="https://en.wikipedia.org/wiki/Toombs_County,_Georgia" TargetMode="External"/><Relationship Id="rId2384" Type="http://schemas.openxmlformats.org/officeDocument/2006/relationships/hyperlink" Target="https://en.wikipedia.org/wiki/Maine" TargetMode="External"/><Relationship Id="rId1054" Type="http://schemas.openxmlformats.org/officeDocument/2006/relationships/hyperlink" Target="https://en.wikipedia.org/wiki/Georgia_(U.S._state)" TargetMode="External"/><Relationship Id="rId2385" Type="http://schemas.openxmlformats.org/officeDocument/2006/relationships/hyperlink" Target="https://en.wikipedia.org/wiki/Waldo_County,_Maine" TargetMode="External"/><Relationship Id="rId1055" Type="http://schemas.openxmlformats.org/officeDocument/2006/relationships/hyperlink" Target="https://en.wikipedia.org/wiki/Towns_County,_Georgia" TargetMode="External"/><Relationship Id="rId2386" Type="http://schemas.openxmlformats.org/officeDocument/2006/relationships/hyperlink" Target="https://en.wikipedia.org/wiki/Maine" TargetMode="External"/><Relationship Id="rId1056" Type="http://schemas.openxmlformats.org/officeDocument/2006/relationships/hyperlink" Target="https://en.wikipedia.org/wiki/Georgia_(U.S._state)" TargetMode="External"/><Relationship Id="rId2387" Type="http://schemas.openxmlformats.org/officeDocument/2006/relationships/hyperlink" Target="https://en.wikipedia.org/wiki/Washington_County,_Maine" TargetMode="External"/><Relationship Id="rId1057" Type="http://schemas.openxmlformats.org/officeDocument/2006/relationships/hyperlink" Target="https://en.wikipedia.org/wiki/Treutlen_County,_Georgia" TargetMode="External"/><Relationship Id="rId2388" Type="http://schemas.openxmlformats.org/officeDocument/2006/relationships/hyperlink" Target="https://en.wikipedia.org/wiki/Maine" TargetMode="External"/><Relationship Id="rId1058" Type="http://schemas.openxmlformats.org/officeDocument/2006/relationships/hyperlink" Target="https://en.wikipedia.org/wiki/Georgia_(U.S._state)" TargetMode="External"/><Relationship Id="rId2389" Type="http://schemas.openxmlformats.org/officeDocument/2006/relationships/hyperlink" Target="https://en.wikipedia.org/wiki/York_County,_Maine" TargetMode="External"/><Relationship Id="rId1048" Type="http://schemas.openxmlformats.org/officeDocument/2006/relationships/hyperlink" Target="https://en.wikipedia.org/wiki/Georgia_(U.S._state)" TargetMode="External"/><Relationship Id="rId2379" Type="http://schemas.openxmlformats.org/officeDocument/2006/relationships/hyperlink" Target="https://en.wikipedia.org/wiki/Piscataquis_County,_Maine" TargetMode="External"/><Relationship Id="rId1049" Type="http://schemas.openxmlformats.org/officeDocument/2006/relationships/hyperlink" Target="https://en.wikipedia.org/wiki/Thomas_County,_Georgia" TargetMode="External"/><Relationship Id="rId2370" Type="http://schemas.openxmlformats.org/officeDocument/2006/relationships/hyperlink" Target="https://en.wikipedia.org/wiki/Maine" TargetMode="External"/><Relationship Id="rId1040" Type="http://schemas.openxmlformats.org/officeDocument/2006/relationships/hyperlink" Target="https://en.wikipedia.org/wiki/Georgia_(U.S._state)" TargetMode="External"/><Relationship Id="rId2371" Type="http://schemas.openxmlformats.org/officeDocument/2006/relationships/hyperlink" Target="https://en.wikipedia.org/wiki/Knox_County,_Maine" TargetMode="External"/><Relationship Id="rId1041" Type="http://schemas.openxmlformats.org/officeDocument/2006/relationships/hyperlink" Target="https://en.wikipedia.org/wiki/Tattnall_County,_Georgia" TargetMode="External"/><Relationship Id="rId2372" Type="http://schemas.openxmlformats.org/officeDocument/2006/relationships/hyperlink" Target="https://en.wikipedia.org/wiki/Maine" TargetMode="External"/><Relationship Id="rId1042" Type="http://schemas.openxmlformats.org/officeDocument/2006/relationships/hyperlink" Target="https://en.wikipedia.org/wiki/Georgia_(U.S._state)" TargetMode="External"/><Relationship Id="rId2373" Type="http://schemas.openxmlformats.org/officeDocument/2006/relationships/hyperlink" Target="https://en.wikipedia.org/wiki/Lincoln_County,_Maine" TargetMode="External"/><Relationship Id="rId1043" Type="http://schemas.openxmlformats.org/officeDocument/2006/relationships/hyperlink" Target="https://en.wikipedia.org/wiki/Taylor_County,_Georgia" TargetMode="External"/><Relationship Id="rId2374" Type="http://schemas.openxmlformats.org/officeDocument/2006/relationships/hyperlink" Target="https://en.wikipedia.org/wiki/Maine" TargetMode="External"/><Relationship Id="rId1044" Type="http://schemas.openxmlformats.org/officeDocument/2006/relationships/hyperlink" Target="https://en.wikipedia.org/wiki/Georgia_(U.S._state)" TargetMode="External"/><Relationship Id="rId2375" Type="http://schemas.openxmlformats.org/officeDocument/2006/relationships/hyperlink" Target="https://en.wikipedia.org/wiki/Oxford_County,_Maine" TargetMode="External"/><Relationship Id="rId1045" Type="http://schemas.openxmlformats.org/officeDocument/2006/relationships/hyperlink" Target="https://en.wikipedia.org/wiki/Telfair_County,_Georgia" TargetMode="External"/><Relationship Id="rId2376" Type="http://schemas.openxmlformats.org/officeDocument/2006/relationships/hyperlink" Target="https://en.wikipedia.org/wiki/Maine" TargetMode="External"/><Relationship Id="rId1046" Type="http://schemas.openxmlformats.org/officeDocument/2006/relationships/hyperlink" Target="https://en.wikipedia.org/wiki/Georgia_(U.S._state)" TargetMode="External"/><Relationship Id="rId2377" Type="http://schemas.openxmlformats.org/officeDocument/2006/relationships/hyperlink" Target="https://en.wikipedia.org/wiki/Penobscot_County,_Maine" TargetMode="External"/><Relationship Id="rId1047" Type="http://schemas.openxmlformats.org/officeDocument/2006/relationships/hyperlink" Target="https://en.wikipedia.org/wiki/Terrell_County,_Georgia" TargetMode="External"/><Relationship Id="rId2378" Type="http://schemas.openxmlformats.org/officeDocument/2006/relationships/hyperlink" Target="https://en.wikipedia.org/wiki/Maine" TargetMode="External"/><Relationship Id="rId1070" Type="http://schemas.openxmlformats.org/officeDocument/2006/relationships/hyperlink" Target="https://en.wikipedia.org/wiki/Georgia_(U.S._state)" TargetMode="External"/><Relationship Id="rId1071" Type="http://schemas.openxmlformats.org/officeDocument/2006/relationships/hyperlink" Target="https://en.wikipedia.org/wiki/Walton_County,_Georgia" TargetMode="External"/><Relationship Id="rId1072" Type="http://schemas.openxmlformats.org/officeDocument/2006/relationships/hyperlink" Target="https://en.wikipedia.org/wiki/Georgia_(U.S._state)" TargetMode="External"/><Relationship Id="rId1073" Type="http://schemas.openxmlformats.org/officeDocument/2006/relationships/hyperlink" Target="https://en.wikipedia.org/wiki/Ware_County,_Georgia" TargetMode="External"/><Relationship Id="rId1074" Type="http://schemas.openxmlformats.org/officeDocument/2006/relationships/hyperlink" Target="https://en.wikipedia.org/wiki/Georgia_(U.S._state)" TargetMode="External"/><Relationship Id="rId1075" Type="http://schemas.openxmlformats.org/officeDocument/2006/relationships/hyperlink" Target="https://en.wikipedia.org/wiki/Warren_County,_Georgia" TargetMode="External"/><Relationship Id="rId1076" Type="http://schemas.openxmlformats.org/officeDocument/2006/relationships/hyperlink" Target="https://en.wikipedia.org/wiki/Georgia_(U.S._state)" TargetMode="External"/><Relationship Id="rId1077" Type="http://schemas.openxmlformats.org/officeDocument/2006/relationships/hyperlink" Target="https://en.wikipedia.org/wiki/Washington_County,_Georgia" TargetMode="External"/><Relationship Id="rId1078" Type="http://schemas.openxmlformats.org/officeDocument/2006/relationships/hyperlink" Target="https://en.wikipedia.org/wiki/Georgia_(U.S._state)" TargetMode="External"/><Relationship Id="rId1079" Type="http://schemas.openxmlformats.org/officeDocument/2006/relationships/hyperlink" Target="https://en.wikipedia.org/wiki/Wayne_County,_Georgia" TargetMode="External"/><Relationship Id="rId2390" Type="http://schemas.openxmlformats.org/officeDocument/2006/relationships/hyperlink" Target="https://en.wikipedia.org/wiki/Maryland" TargetMode="External"/><Relationship Id="rId1060" Type="http://schemas.openxmlformats.org/officeDocument/2006/relationships/hyperlink" Target="https://en.wikipedia.org/wiki/Georgia_(U.S._state)" TargetMode="External"/><Relationship Id="rId2391" Type="http://schemas.openxmlformats.org/officeDocument/2006/relationships/hyperlink" Target="https://en.wikipedia.org/wiki/Allegany_County,_Maryland" TargetMode="External"/><Relationship Id="rId1061" Type="http://schemas.openxmlformats.org/officeDocument/2006/relationships/hyperlink" Target="https://en.wikipedia.org/wiki/Turner_County,_Georgia" TargetMode="External"/><Relationship Id="rId2392" Type="http://schemas.openxmlformats.org/officeDocument/2006/relationships/hyperlink" Target="https://en.wikipedia.org/wiki/Maryland" TargetMode="External"/><Relationship Id="rId1062" Type="http://schemas.openxmlformats.org/officeDocument/2006/relationships/hyperlink" Target="https://en.wikipedia.org/wiki/Georgia_(U.S._state)" TargetMode="External"/><Relationship Id="rId2393" Type="http://schemas.openxmlformats.org/officeDocument/2006/relationships/hyperlink" Target="https://en.wikipedia.org/wiki/Anne_Arundel_County,_Maryland" TargetMode="External"/><Relationship Id="rId1063" Type="http://schemas.openxmlformats.org/officeDocument/2006/relationships/hyperlink" Target="https://en.wikipedia.org/wiki/Twiggs_County,_Georgia" TargetMode="External"/><Relationship Id="rId2394" Type="http://schemas.openxmlformats.org/officeDocument/2006/relationships/hyperlink" Target="https://en.wikipedia.org/wiki/Maryland" TargetMode="External"/><Relationship Id="rId1064" Type="http://schemas.openxmlformats.org/officeDocument/2006/relationships/hyperlink" Target="https://en.wikipedia.org/wiki/Georgia_(U.S._state)" TargetMode="External"/><Relationship Id="rId2395" Type="http://schemas.openxmlformats.org/officeDocument/2006/relationships/hyperlink" Target="https://en.wikipedia.org/wiki/Baltimore_County,_Maryland" TargetMode="External"/><Relationship Id="rId1065" Type="http://schemas.openxmlformats.org/officeDocument/2006/relationships/hyperlink" Target="https://en.wikipedia.org/wiki/Union_County,_Georgia" TargetMode="External"/><Relationship Id="rId2396" Type="http://schemas.openxmlformats.org/officeDocument/2006/relationships/hyperlink" Target="https://en.wikipedia.org/wiki/Maryland" TargetMode="External"/><Relationship Id="rId1066" Type="http://schemas.openxmlformats.org/officeDocument/2006/relationships/hyperlink" Target="https://en.wikipedia.org/wiki/Georgia_(U.S._state)" TargetMode="External"/><Relationship Id="rId2397" Type="http://schemas.openxmlformats.org/officeDocument/2006/relationships/hyperlink" Target="https://en.wikipedia.org/wiki/Calvert_County,_Maryland" TargetMode="External"/><Relationship Id="rId1067" Type="http://schemas.openxmlformats.org/officeDocument/2006/relationships/hyperlink" Target="https://en.wikipedia.org/wiki/Upson_County,_Georgia" TargetMode="External"/><Relationship Id="rId2398" Type="http://schemas.openxmlformats.org/officeDocument/2006/relationships/hyperlink" Target="https://en.wikipedia.org/wiki/Maryland" TargetMode="External"/><Relationship Id="rId1068" Type="http://schemas.openxmlformats.org/officeDocument/2006/relationships/hyperlink" Target="https://en.wikipedia.org/wiki/Georgia_(U.S._state)" TargetMode="External"/><Relationship Id="rId2399" Type="http://schemas.openxmlformats.org/officeDocument/2006/relationships/hyperlink" Target="https://en.wikipedia.org/wiki/Caroline_County,_Maryland" TargetMode="External"/><Relationship Id="rId1069" Type="http://schemas.openxmlformats.org/officeDocument/2006/relationships/hyperlink" Target="https://en.wikipedia.org/wiki/Walker_County,_Georgia" TargetMode="External"/><Relationship Id="rId1015" Type="http://schemas.openxmlformats.org/officeDocument/2006/relationships/hyperlink" Target="https://en.wikipedia.org/wiki/Rabun_County,_Georgia" TargetMode="External"/><Relationship Id="rId2346" Type="http://schemas.openxmlformats.org/officeDocument/2006/relationships/hyperlink" Target="https://en.wikipedia.org/wiki/Louisiana" TargetMode="External"/><Relationship Id="rId3678" Type="http://schemas.openxmlformats.org/officeDocument/2006/relationships/hyperlink" Target="https://en.wikipedia.org/wiki/New_York" TargetMode="External"/><Relationship Id="rId1016" Type="http://schemas.openxmlformats.org/officeDocument/2006/relationships/hyperlink" Target="https://en.wikipedia.org/wiki/Georgia_(U.S._state)" TargetMode="External"/><Relationship Id="rId2347" Type="http://schemas.openxmlformats.org/officeDocument/2006/relationships/hyperlink" Target="https://en.wikipedia.org/wiki/Washington_Parish,_Louisiana" TargetMode="External"/><Relationship Id="rId3677" Type="http://schemas.openxmlformats.org/officeDocument/2006/relationships/hyperlink" Target="https://en.wikipedia.org/wiki/Chenango_County,_New_York" TargetMode="External"/><Relationship Id="rId1017" Type="http://schemas.openxmlformats.org/officeDocument/2006/relationships/hyperlink" Target="https://en.wikipedia.org/wiki/Randolph_County,_Georgia" TargetMode="External"/><Relationship Id="rId2348" Type="http://schemas.openxmlformats.org/officeDocument/2006/relationships/hyperlink" Target="https://en.wikipedia.org/wiki/Louisiana" TargetMode="External"/><Relationship Id="rId1018" Type="http://schemas.openxmlformats.org/officeDocument/2006/relationships/hyperlink" Target="https://en.wikipedia.org/wiki/Georgia_(U.S._state)" TargetMode="External"/><Relationship Id="rId2349" Type="http://schemas.openxmlformats.org/officeDocument/2006/relationships/hyperlink" Target="https://en.wikipedia.org/wiki/Webster_Parish,_Louisiana" TargetMode="External"/><Relationship Id="rId3679" Type="http://schemas.openxmlformats.org/officeDocument/2006/relationships/hyperlink" Target="https://en.wikipedia.org/wiki/Clinton_County,_New_York" TargetMode="External"/><Relationship Id="rId1019" Type="http://schemas.openxmlformats.org/officeDocument/2006/relationships/hyperlink" Target="https://en.wikipedia.org/wiki/Richmond_County,_Georgia" TargetMode="External"/><Relationship Id="rId3670" Type="http://schemas.openxmlformats.org/officeDocument/2006/relationships/hyperlink" Target="https://en.wikipedia.org/wiki/New_York" TargetMode="External"/><Relationship Id="rId2340" Type="http://schemas.openxmlformats.org/officeDocument/2006/relationships/hyperlink" Target="https://en.wikipedia.org/wiki/Louisiana" TargetMode="External"/><Relationship Id="rId3672" Type="http://schemas.openxmlformats.org/officeDocument/2006/relationships/hyperlink" Target="https://en.wikipedia.org/wiki/New_York" TargetMode="External"/><Relationship Id="rId1010" Type="http://schemas.openxmlformats.org/officeDocument/2006/relationships/hyperlink" Target="https://en.wikipedia.org/wiki/Georgia_(U.S._state)" TargetMode="External"/><Relationship Id="rId2341" Type="http://schemas.openxmlformats.org/officeDocument/2006/relationships/hyperlink" Target="https://en.wikipedia.org/wiki/Union_Parish,_Louisiana" TargetMode="External"/><Relationship Id="rId3671" Type="http://schemas.openxmlformats.org/officeDocument/2006/relationships/hyperlink" Target="https://en.wikipedia.org/wiki/Cayuga_County,_New_York" TargetMode="External"/><Relationship Id="rId1011" Type="http://schemas.openxmlformats.org/officeDocument/2006/relationships/hyperlink" Target="https://en.wikipedia.org/wiki/Putnam_County,_Georgia" TargetMode="External"/><Relationship Id="rId2342" Type="http://schemas.openxmlformats.org/officeDocument/2006/relationships/hyperlink" Target="https://en.wikipedia.org/wiki/Louisiana" TargetMode="External"/><Relationship Id="rId3674" Type="http://schemas.openxmlformats.org/officeDocument/2006/relationships/hyperlink" Target="https://en.wikipedia.org/wiki/New_York" TargetMode="External"/><Relationship Id="rId1012" Type="http://schemas.openxmlformats.org/officeDocument/2006/relationships/hyperlink" Target="https://en.wikipedia.org/wiki/Georgia_(U.S._state)" TargetMode="External"/><Relationship Id="rId2343" Type="http://schemas.openxmlformats.org/officeDocument/2006/relationships/hyperlink" Target="https://en.wikipedia.org/wiki/Vermilion_Parish,_Louisiana" TargetMode="External"/><Relationship Id="rId3673" Type="http://schemas.openxmlformats.org/officeDocument/2006/relationships/hyperlink" Target="https://en.wikipedia.org/wiki/Chautauqua_County,_New_York" TargetMode="External"/><Relationship Id="rId1013" Type="http://schemas.openxmlformats.org/officeDocument/2006/relationships/hyperlink" Target="https://en.wikipedia.org/wiki/Quitman_County,_Georgia" TargetMode="External"/><Relationship Id="rId2344" Type="http://schemas.openxmlformats.org/officeDocument/2006/relationships/hyperlink" Target="https://en.wikipedia.org/wiki/Louisiana" TargetMode="External"/><Relationship Id="rId3676" Type="http://schemas.openxmlformats.org/officeDocument/2006/relationships/hyperlink" Target="https://en.wikipedia.org/wiki/New_York" TargetMode="External"/><Relationship Id="rId1014" Type="http://schemas.openxmlformats.org/officeDocument/2006/relationships/hyperlink" Target="https://en.wikipedia.org/wiki/Georgia_(U.S._state)" TargetMode="External"/><Relationship Id="rId2345" Type="http://schemas.openxmlformats.org/officeDocument/2006/relationships/hyperlink" Target="https://en.wikipedia.org/wiki/Vernon_Parish,_Louisiana" TargetMode="External"/><Relationship Id="rId3675" Type="http://schemas.openxmlformats.org/officeDocument/2006/relationships/hyperlink" Target="https://en.wikipedia.org/wiki/Chemung_County,_New_York" TargetMode="External"/><Relationship Id="rId1004" Type="http://schemas.openxmlformats.org/officeDocument/2006/relationships/hyperlink" Target="https://en.wikipedia.org/wiki/Georgia_(U.S._state)" TargetMode="External"/><Relationship Id="rId2335" Type="http://schemas.openxmlformats.org/officeDocument/2006/relationships/hyperlink" Target="https://en.wikipedia.org/wiki/Tangipahoa_Parish,_Louisiana" TargetMode="External"/><Relationship Id="rId3667" Type="http://schemas.openxmlformats.org/officeDocument/2006/relationships/hyperlink" Target="https://en.wikipedia.org/wiki/Broome_County,_New_York" TargetMode="External"/><Relationship Id="rId4998" Type="http://schemas.openxmlformats.org/officeDocument/2006/relationships/hyperlink" Target="https://en.wikipedia.org/wiki/Tennessee" TargetMode="External"/><Relationship Id="rId1005" Type="http://schemas.openxmlformats.org/officeDocument/2006/relationships/hyperlink" Target="https://en.wikipedia.org/wiki/Pike_County,_Georgia" TargetMode="External"/><Relationship Id="rId2336" Type="http://schemas.openxmlformats.org/officeDocument/2006/relationships/hyperlink" Target="https://en.wikipedia.org/wiki/Louisiana" TargetMode="External"/><Relationship Id="rId3666" Type="http://schemas.openxmlformats.org/officeDocument/2006/relationships/hyperlink" Target="https://en.wikipedia.org/wiki/New_York" TargetMode="External"/><Relationship Id="rId4997" Type="http://schemas.openxmlformats.org/officeDocument/2006/relationships/hyperlink" Target="https://en.wikipedia.org/wiki/Pickett_County,_Tennessee" TargetMode="External"/><Relationship Id="rId1006" Type="http://schemas.openxmlformats.org/officeDocument/2006/relationships/hyperlink" Target="https://en.wikipedia.org/wiki/Georgia_(U.S._state)" TargetMode="External"/><Relationship Id="rId2337" Type="http://schemas.openxmlformats.org/officeDocument/2006/relationships/hyperlink" Target="https://en.wikipedia.org/wiki/Tensas_Parish,_Louisiana" TargetMode="External"/><Relationship Id="rId3669" Type="http://schemas.openxmlformats.org/officeDocument/2006/relationships/hyperlink" Target="https://en.wikipedia.org/wiki/Cattaraugus_County,_New_York" TargetMode="External"/><Relationship Id="rId1007" Type="http://schemas.openxmlformats.org/officeDocument/2006/relationships/hyperlink" Target="https://en.wikipedia.org/wiki/Polk_County,_Georgia" TargetMode="External"/><Relationship Id="rId2338" Type="http://schemas.openxmlformats.org/officeDocument/2006/relationships/hyperlink" Target="https://en.wikipedia.org/wiki/Louisiana" TargetMode="External"/><Relationship Id="rId3668" Type="http://schemas.openxmlformats.org/officeDocument/2006/relationships/hyperlink" Target="https://en.wikipedia.org/wiki/New_York" TargetMode="External"/><Relationship Id="rId4999" Type="http://schemas.openxmlformats.org/officeDocument/2006/relationships/hyperlink" Target="https://en.wikipedia.org/wiki/Polk_County,_Tennessee" TargetMode="External"/><Relationship Id="rId1008" Type="http://schemas.openxmlformats.org/officeDocument/2006/relationships/hyperlink" Target="https://en.wikipedia.org/wiki/Georgia_(U.S._state)" TargetMode="External"/><Relationship Id="rId2339" Type="http://schemas.openxmlformats.org/officeDocument/2006/relationships/hyperlink" Target="https://en.wikipedia.org/wiki/Terrebonne_Parish,_Louisiana" TargetMode="External"/><Relationship Id="rId1009" Type="http://schemas.openxmlformats.org/officeDocument/2006/relationships/hyperlink" Target="https://en.wikipedia.org/wiki/Pulaski_County,_Georgia" TargetMode="External"/><Relationship Id="rId4990" Type="http://schemas.openxmlformats.org/officeDocument/2006/relationships/hyperlink" Target="https://en.wikipedia.org/wiki/Tennessee" TargetMode="External"/><Relationship Id="rId3661" Type="http://schemas.openxmlformats.org/officeDocument/2006/relationships/hyperlink" Target="https://en.wikipedia.org/wiki/Albany_County,_New_York" TargetMode="External"/><Relationship Id="rId4992" Type="http://schemas.openxmlformats.org/officeDocument/2006/relationships/hyperlink" Target="https://en.wikipedia.org/wiki/Tennessee" TargetMode="External"/><Relationship Id="rId2330" Type="http://schemas.openxmlformats.org/officeDocument/2006/relationships/hyperlink" Target="https://en.wikipedia.org/wiki/Louisiana" TargetMode="External"/><Relationship Id="rId3660" Type="http://schemas.openxmlformats.org/officeDocument/2006/relationships/hyperlink" Target="https://en.wikipedia.org/wiki/New_York" TargetMode="External"/><Relationship Id="rId4991" Type="http://schemas.openxmlformats.org/officeDocument/2006/relationships/hyperlink" Target="https://en.wikipedia.org/wiki/Obion_County,_Tennessee" TargetMode="External"/><Relationship Id="rId1000" Type="http://schemas.openxmlformats.org/officeDocument/2006/relationships/hyperlink" Target="https://en.wikipedia.org/wiki/Georgia_(U.S._state)" TargetMode="External"/><Relationship Id="rId2331" Type="http://schemas.openxmlformats.org/officeDocument/2006/relationships/hyperlink" Target="https://en.wikipedia.org/wiki/St._Mary_Parish,_Louisiana" TargetMode="External"/><Relationship Id="rId3663" Type="http://schemas.openxmlformats.org/officeDocument/2006/relationships/hyperlink" Target="https://en.wikipedia.org/wiki/Allegany_County,_New_York" TargetMode="External"/><Relationship Id="rId4994" Type="http://schemas.openxmlformats.org/officeDocument/2006/relationships/hyperlink" Target="https://en.wikipedia.org/wiki/Tennessee" TargetMode="External"/><Relationship Id="rId1001" Type="http://schemas.openxmlformats.org/officeDocument/2006/relationships/hyperlink" Target="https://en.wikipedia.org/wiki/Pickens_County,_Georgia" TargetMode="External"/><Relationship Id="rId2332" Type="http://schemas.openxmlformats.org/officeDocument/2006/relationships/hyperlink" Target="https://en.wikipedia.org/wiki/Louisiana" TargetMode="External"/><Relationship Id="rId3662" Type="http://schemas.openxmlformats.org/officeDocument/2006/relationships/hyperlink" Target="https://en.wikipedia.org/wiki/New_York" TargetMode="External"/><Relationship Id="rId4993" Type="http://schemas.openxmlformats.org/officeDocument/2006/relationships/hyperlink" Target="https://en.wikipedia.org/wiki/Overton_County,_Tennessee" TargetMode="External"/><Relationship Id="rId1002" Type="http://schemas.openxmlformats.org/officeDocument/2006/relationships/hyperlink" Target="https://en.wikipedia.org/wiki/Georgia_(U.S._state)" TargetMode="External"/><Relationship Id="rId2333" Type="http://schemas.openxmlformats.org/officeDocument/2006/relationships/hyperlink" Target="https://en.wikipedia.org/wiki/St._Tammany_Parish,_Louisiana" TargetMode="External"/><Relationship Id="rId3665" Type="http://schemas.openxmlformats.org/officeDocument/2006/relationships/hyperlink" Target="https://en.wikipedia.org/wiki/Bronx_County,_New_York" TargetMode="External"/><Relationship Id="rId4996" Type="http://schemas.openxmlformats.org/officeDocument/2006/relationships/hyperlink" Target="https://en.wikipedia.org/wiki/Tennessee" TargetMode="External"/><Relationship Id="rId1003" Type="http://schemas.openxmlformats.org/officeDocument/2006/relationships/hyperlink" Target="https://en.wikipedia.org/wiki/Pierce_County,_Georgia" TargetMode="External"/><Relationship Id="rId2334" Type="http://schemas.openxmlformats.org/officeDocument/2006/relationships/hyperlink" Target="https://en.wikipedia.org/wiki/Louisiana" TargetMode="External"/><Relationship Id="rId3664" Type="http://schemas.openxmlformats.org/officeDocument/2006/relationships/hyperlink" Target="https://en.wikipedia.org/wiki/New_York" TargetMode="External"/><Relationship Id="rId4995" Type="http://schemas.openxmlformats.org/officeDocument/2006/relationships/hyperlink" Target="https://en.wikipedia.org/wiki/Perry_County,_Tennessee" TargetMode="External"/><Relationship Id="rId1037" Type="http://schemas.openxmlformats.org/officeDocument/2006/relationships/hyperlink" Target="https://en.wikipedia.org/wiki/Talbot_County,_Georgia" TargetMode="External"/><Relationship Id="rId2368" Type="http://schemas.openxmlformats.org/officeDocument/2006/relationships/hyperlink" Target="https://en.wikipedia.org/wiki/Maine" TargetMode="External"/><Relationship Id="rId1038" Type="http://schemas.openxmlformats.org/officeDocument/2006/relationships/hyperlink" Target="https://en.wikipedia.org/wiki/Georgia_(U.S._state)" TargetMode="External"/><Relationship Id="rId2369" Type="http://schemas.openxmlformats.org/officeDocument/2006/relationships/hyperlink" Target="https://en.wikipedia.org/wiki/Kennebec_County,_Maine" TargetMode="External"/><Relationship Id="rId3699" Type="http://schemas.openxmlformats.org/officeDocument/2006/relationships/hyperlink" Target="https://en.wikipedia.org/wiki/Greene_County,_New_York" TargetMode="External"/><Relationship Id="rId1039" Type="http://schemas.openxmlformats.org/officeDocument/2006/relationships/hyperlink" Target="https://en.wikipedia.org/wiki/Taliaferro_County,_Georgia" TargetMode="External"/><Relationship Id="rId3690" Type="http://schemas.openxmlformats.org/officeDocument/2006/relationships/hyperlink" Target="https://en.wikipedia.org/wiki/New_York" TargetMode="External"/><Relationship Id="rId2360" Type="http://schemas.openxmlformats.org/officeDocument/2006/relationships/hyperlink" Target="https://en.wikipedia.org/wiki/Maine" TargetMode="External"/><Relationship Id="rId3692" Type="http://schemas.openxmlformats.org/officeDocument/2006/relationships/hyperlink" Target="https://en.wikipedia.org/wiki/New_York" TargetMode="External"/><Relationship Id="rId1030" Type="http://schemas.openxmlformats.org/officeDocument/2006/relationships/hyperlink" Target="https://en.wikipedia.org/wiki/Georgia_(U.S._state)" TargetMode="External"/><Relationship Id="rId2361" Type="http://schemas.openxmlformats.org/officeDocument/2006/relationships/hyperlink" Target="https://en.wikipedia.org/wiki/Aroostook_County,_Maine" TargetMode="External"/><Relationship Id="rId3691" Type="http://schemas.openxmlformats.org/officeDocument/2006/relationships/hyperlink" Target="https://en.wikipedia.org/wiki/Essex_County,_New_York" TargetMode="External"/><Relationship Id="rId1031" Type="http://schemas.openxmlformats.org/officeDocument/2006/relationships/hyperlink" Target="https://en.wikipedia.org/wiki/Stephens_County,_Georgia" TargetMode="External"/><Relationship Id="rId2362" Type="http://schemas.openxmlformats.org/officeDocument/2006/relationships/hyperlink" Target="https://en.wikipedia.org/wiki/Maine" TargetMode="External"/><Relationship Id="rId3694" Type="http://schemas.openxmlformats.org/officeDocument/2006/relationships/hyperlink" Target="https://en.wikipedia.org/wiki/New_York" TargetMode="External"/><Relationship Id="rId1032" Type="http://schemas.openxmlformats.org/officeDocument/2006/relationships/hyperlink" Target="https://en.wikipedia.org/wiki/Georgia_(U.S._state)" TargetMode="External"/><Relationship Id="rId2363" Type="http://schemas.openxmlformats.org/officeDocument/2006/relationships/hyperlink" Target="https://en.wikipedia.org/wiki/Cumberland_County,_Maine" TargetMode="External"/><Relationship Id="rId3693" Type="http://schemas.openxmlformats.org/officeDocument/2006/relationships/hyperlink" Target="https://en.wikipedia.org/wiki/Franklin_County,_New_York" TargetMode="External"/><Relationship Id="rId1033" Type="http://schemas.openxmlformats.org/officeDocument/2006/relationships/hyperlink" Target="https://en.wikipedia.org/wiki/Stewart_County,_Georgia" TargetMode="External"/><Relationship Id="rId2364" Type="http://schemas.openxmlformats.org/officeDocument/2006/relationships/hyperlink" Target="https://en.wikipedia.org/wiki/Maine" TargetMode="External"/><Relationship Id="rId3696" Type="http://schemas.openxmlformats.org/officeDocument/2006/relationships/hyperlink" Target="https://en.wikipedia.org/wiki/New_York" TargetMode="External"/><Relationship Id="rId1034" Type="http://schemas.openxmlformats.org/officeDocument/2006/relationships/hyperlink" Target="https://en.wikipedia.org/wiki/Georgia_(U.S._state)" TargetMode="External"/><Relationship Id="rId2365" Type="http://schemas.openxmlformats.org/officeDocument/2006/relationships/hyperlink" Target="https://en.wikipedia.org/wiki/Franklin_County,_Maine" TargetMode="External"/><Relationship Id="rId3695" Type="http://schemas.openxmlformats.org/officeDocument/2006/relationships/hyperlink" Target="https://en.wikipedia.org/wiki/Fulton_County,_New_York" TargetMode="External"/><Relationship Id="rId1035" Type="http://schemas.openxmlformats.org/officeDocument/2006/relationships/hyperlink" Target="https://en.wikipedia.org/wiki/Sumter_County,_Georgia" TargetMode="External"/><Relationship Id="rId2366" Type="http://schemas.openxmlformats.org/officeDocument/2006/relationships/hyperlink" Target="https://en.wikipedia.org/wiki/Maine" TargetMode="External"/><Relationship Id="rId3698" Type="http://schemas.openxmlformats.org/officeDocument/2006/relationships/hyperlink" Target="https://en.wikipedia.org/wiki/New_York" TargetMode="External"/><Relationship Id="rId1036" Type="http://schemas.openxmlformats.org/officeDocument/2006/relationships/hyperlink" Target="https://en.wikipedia.org/wiki/Georgia_(U.S._state)" TargetMode="External"/><Relationship Id="rId2367" Type="http://schemas.openxmlformats.org/officeDocument/2006/relationships/hyperlink" Target="https://en.wikipedia.org/wiki/Hancock_County,_Maine" TargetMode="External"/><Relationship Id="rId3697" Type="http://schemas.openxmlformats.org/officeDocument/2006/relationships/hyperlink" Target="https://en.wikipedia.org/wiki/Genesee_County,_New_York" TargetMode="External"/><Relationship Id="rId1026" Type="http://schemas.openxmlformats.org/officeDocument/2006/relationships/hyperlink" Target="https://en.wikipedia.org/wiki/Georgia_(U.S._state)" TargetMode="External"/><Relationship Id="rId2357" Type="http://schemas.openxmlformats.org/officeDocument/2006/relationships/hyperlink" Target="https://en.wikipedia.org/wiki/Winn_Parish,_Louisiana" TargetMode="External"/><Relationship Id="rId3689" Type="http://schemas.openxmlformats.org/officeDocument/2006/relationships/hyperlink" Target="https://en.wikipedia.org/wiki/Erie_County,_New_York" TargetMode="External"/><Relationship Id="rId1027" Type="http://schemas.openxmlformats.org/officeDocument/2006/relationships/hyperlink" Target="https://en.wikipedia.org/wiki/Seminole_County,_Georgia" TargetMode="External"/><Relationship Id="rId2358" Type="http://schemas.openxmlformats.org/officeDocument/2006/relationships/hyperlink" Target="https://en.wikipedia.org/wiki/Maine" TargetMode="External"/><Relationship Id="rId3688" Type="http://schemas.openxmlformats.org/officeDocument/2006/relationships/hyperlink" Target="https://en.wikipedia.org/wiki/New_York" TargetMode="External"/><Relationship Id="rId1028" Type="http://schemas.openxmlformats.org/officeDocument/2006/relationships/hyperlink" Target="https://en.wikipedia.org/wiki/Georgia_(U.S._state)" TargetMode="External"/><Relationship Id="rId2359" Type="http://schemas.openxmlformats.org/officeDocument/2006/relationships/hyperlink" Target="https://en.wikipedia.org/wiki/Androscoggin_County,_Maine" TargetMode="External"/><Relationship Id="rId1029" Type="http://schemas.openxmlformats.org/officeDocument/2006/relationships/hyperlink" Target="https://en.wikipedia.org/wiki/Spalding_County,_Georgia" TargetMode="External"/><Relationship Id="rId3681" Type="http://schemas.openxmlformats.org/officeDocument/2006/relationships/hyperlink" Target="https://en.wikipedia.org/wiki/Columbia_County,_New_York" TargetMode="External"/><Relationship Id="rId2350" Type="http://schemas.openxmlformats.org/officeDocument/2006/relationships/hyperlink" Target="https://en.wikipedia.org/wiki/Louisiana" TargetMode="External"/><Relationship Id="rId3680" Type="http://schemas.openxmlformats.org/officeDocument/2006/relationships/hyperlink" Target="https://en.wikipedia.org/wiki/New_York" TargetMode="External"/><Relationship Id="rId1020" Type="http://schemas.openxmlformats.org/officeDocument/2006/relationships/hyperlink" Target="https://en.wikipedia.org/wiki/Georgia_(U.S._state)" TargetMode="External"/><Relationship Id="rId2351" Type="http://schemas.openxmlformats.org/officeDocument/2006/relationships/hyperlink" Target="https://en.wikipedia.org/wiki/West_Baton_Rouge_Parish,_Louisiana" TargetMode="External"/><Relationship Id="rId3683" Type="http://schemas.openxmlformats.org/officeDocument/2006/relationships/hyperlink" Target="https://en.wikipedia.org/wiki/Cortland_County,_New_York" TargetMode="External"/><Relationship Id="rId1021" Type="http://schemas.openxmlformats.org/officeDocument/2006/relationships/hyperlink" Target="https://en.wikipedia.org/wiki/Rockdale_County,_Georgia" TargetMode="External"/><Relationship Id="rId2352" Type="http://schemas.openxmlformats.org/officeDocument/2006/relationships/hyperlink" Target="https://en.wikipedia.org/wiki/Louisiana" TargetMode="External"/><Relationship Id="rId3682" Type="http://schemas.openxmlformats.org/officeDocument/2006/relationships/hyperlink" Target="https://en.wikipedia.org/wiki/New_York" TargetMode="External"/><Relationship Id="rId1022" Type="http://schemas.openxmlformats.org/officeDocument/2006/relationships/hyperlink" Target="https://en.wikipedia.org/wiki/Georgia_(U.S._state)" TargetMode="External"/><Relationship Id="rId2353" Type="http://schemas.openxmlformats.org/officeDocument/2006/relationships/hyperlink" Target="https://en.wikipedia.org/wiki/West_Carroll_Parish,_Louisiana" TargetMode="External"/><Relationship Id="rId3685" Type="http://schemas.openxmlformats.org/officeDocument/2006/relationships/hyperlink" Target="https://en.wikipedia.org/wiki/Delaware_County,_New_York" TargetMode="External"/><Relationship Id="rId1023" Type="http://schemas.openxmlformats.org/officeDocument/2006/relationships/hyperlink" Target="https://en.wikipedia.org/wiki/Schley_County,_Georgia" TargetMode="External"/><Relationship Id="rId2354" Type="http://schemas.openxmlformats.org/officeDocument/2006/relationships/hyperlink" Target="https://en.wikipedia.org/wiki/Louisiana" TargetMode="External"/><Relationship Id="rId3684" Type="http://schemas.openxmlformats.org/officeDocument/2006/relationships/hyperlink" Target="https://en.wikipedia.org/wiki/New_York" TargetMode="External"/><Relationship Id="rId1024" Type="http://schemas.openxmlformats.org/officeDocument/2006/relationships/hyperlink" Target="https://en.wikipedia.org/wiki/Georgia_(U.S._state)" TargetMode="External"/><Relationship Id="rId2355" Type="http://schemas.openxmlformats.org/officeDocument/2006/relationships/hyperlink" Target="https://en.wikipedia.org/wiki/West_Feliciana_Parish,_Louisiana" TargetMode="External"/><Relationship Id="rId3687" Type="http://schemas.openxmlformats.org/officeDocument/2006/relationships/hyperlink" Target="https://en.wikipedia.org/wiki/Dutchess_County,_New_York" TargetMode="External"/><Relationship Id="rId1025" Type="http://schemas.openxmlformats.org/officeDocument/2006/relationships/hyperlink" Target="https://en.wikipedia.org/wiki/Screven_County,_Georgia" TargetMode="External"/><Relationship Id="rId2356" Type="http://schemas.openxmlformats.org/officeDocument/2006/relationships/hyperlink" Target="https://en.wikipedia.org/wiki/Louisiana" TargetMode="External"/><Relationship Id="rId3686" Type="http://schemas.openxmlformats.org/officeDocument/2006/relationships/hyperlink" Target="https://en.wikipedia.org/wiki/New_York" TargetMode="External"/><Relationship Id="rId1090" Type="http://schemas.openxmlformats.org/officeDocument/2006/relationships/hyperlink" Target="https://en.wikipedia.org/wiki/Georgia_(U.S._state)" TargetMode="External"/><Relationship Id="rId1091" Type="http://schemas.openxmlformats.org/officeDocument/2006/relationships/hyperlink" Target="https://en.wikipedia.org/wiki/Wilkes_County,_Georgia" TargetMode="External"/><Relationship Id="rId1092" Type="http://schemas.openxmlformats.org/officeDocument/2006/relationships/hyperlink" Target="https://en.wikipedia.org/wiki/Georgia_(U.S._state)" TargetMode="External"/><Relationship Id="rId1093" Type="http://schemas.openxmlformats.org/officeDocument/2006/relationships/hyperlink" Target="https://en.wikipedia.org/wiki/Wilkinson_County,_Georgia" TargetMode="External"/><Relationship Id="rId1094" Type="http://schemas.openxmlformats.org/officeDocument/2006/relationships/hyperlink" Target="https://en.wikipedia.org/wiki/Georgia_(U.S._state)" TargetMode="External"/><Relationship Id="rId1095" Type="http://schemas.openxmlformats.org/officeDocument/2006/relationships/hyperlink" Target="https://en.wikipedia.org/wiki/Worth_County,_Georgia" TargetMode="External"/><Relationship Id="rId1096" Type="http://schemas.openxmlformats.org/officeDocument/2006/relationships/hyperlink" Target="https://en.wikipedia.org/wiki/Hawaii" TargetMode="External"/><Relationship Id="rId1097" Type="http://schemas.openxmlformats.org/officeDocument/2006/relationships/hyperlink" Target="https://en.wikipedia.org/wiki/Hawaii_County,_Hawaii" TargetMode="External"/><Relationship Id="rId1098" Type="http://schemas.openxmlformats.org/officeDocument/2006/relationships/hyperlink" Target="https://en.wikipedia.org/wiki/Hawaii" TargetMode="External"/><Relationship Id="rId1099" Type="http://schemas.openxmlformats.org/officeDocument/2006/relationships/hyperlink" Target="https://en.wikipedia.org/wiki/Honolulu_County,_Hawaii" TargetMode="External"/><Relationship Id="rId1080" Type="http://schemas.openxmlformats.org/officeDocument/2006/relationships/hyperlink" Target="https://en.wikipedia.org/wiki/Georgia_(U.S._state)" TargetMode="External"/><Relationship Id="rId1081" Type="http://schemas.openxmlformats.org/officeDocument/2006/relationships/hyperlink" Target="https://en.wikipedia.org/wiki/Webster_County,_Georgia" TargetMode="External"/><Relationship Id="rId1082" Type="http://schemas.openxmlformats.org/officeDocument/2006/relationships/hyperlink" Target="https://en.wikipedia.org/wiki/Georgia_(U.S._state)" TargetMode="External"/><Relationship Id="rId1083" Type="http://schemas.openxmlformats.org/officeDocument/2006/relationships/hyperlink" Target="https://en.wikipedia.org/wiki/Wheeler_County,_Georgia" TargetMode="External"/><Relationship Id="rId1084" Type="http://schemas.openxmlformats.org/officeDocument/2006/relationships/hyperlink" Target="https://en.wikipedia.org/wiki/Georgia_(U.S._state)" TargetMode="External"/><Relationship Id="rId1085" Type="http://schemas.openxmlformats.org/officeDocument/2006/relationships/hyperlink" Target="https://en.wikipedia.org/wiki/White_County,_Georgia" TargetMode="External"/><Relationship Id="rId1086" Type="http://schemas.openxmlformats.org/officeDocument/2006/relationships/hyperlink" Target="https://en.wikipedia.org/wiki/Georgia_(U.S._state)" TargetMode="External"/><Relationship Id="rId1087" Type="http://schemas.openxmlformats.org/officeDocument/2006/relationships/hyperlink" Target="https://en.wikipedia.org/wiki/Whitfield_County,_Georgia" TargetMode="External"/><Relationship Id="rId1088" Type="http://schemas.openxmlformats.org/officeDocument/2006/relationships/hyperlink" Target="https://en.wikipedia.org/wiki/Georgia_(U.S._state)" TargetMode="External"/><Relationship Id="rId1089" Type="http://schemas.openxmlformats.org/officeDocument/2006/relationships/hyperlink" Target="https://en.wikipedia.org/wiki/Wilcox_County,_Georgia" TargetMode="External"/><Relationship Id="rId2423" Type="http://schemas.openxmlformats.org/officeDocument/2006/relationships/hyperlink" Target="https://en.wikipedia.org/wiki/Queen_Anne%27s_County,_Maryland" TargetMode="External"/><Relationship Id="rId3755" Type="http://schemas.openxmlformats.org/officeDocument/2006/relationships/hyperlink" Target="https://en.wikipedia.org/wiki/Schoharie_County,_New_York" TargetMode="External"/><Relationship Id="rId2424" Type="http://schemas.openxmlformats.org/officeDocument/2006/relationships/hyperlink" Target="https://en.wikipedia.org/wiki/Maryland" TargetMode="External"/><Relationship Id="rId3754" Type="http://schemas.openxmlformats.org/officeDocument/2006/relationships/hyperlink" Target="https://en.wikipedia.org/wiki/New_York" TargetMode="External"/><Relationship Id="rId2425" Type="http://schemas.openxmlformats.org/officeDocument/2006/relationships/hyperlink" Target="https://en.wikipedia.org/wiki/St._Mary%27s_County,_Maryland" TargetMode="External"/><Relationship Id="rId3757" Type="http://schemas.openxmlformats.org/officeDocument/2006/relationships/hyperlink" Target="https://en.wikipedia.org/wiki/Schuyler_County,_New_York" TargetMode="External"/><Relationship Id="rId2426" Type="http://schemas.openxmlformats.org/officeDocument/2006/relationships/hyperlink" Target="https://en.wikipedia.org/wiki/Maryland" TargetMode="External"/><Relationship Id="rId3756" Type="http://schemas.openxmlformats.org/officeDocument/2006/relationships/hyperlink" Target="https://en.wikipedia.org/wiki/New_York" TargetMode="External"/><Relationship Id="rId2427" Type="http://schemas.openxmlformats.org/officeDocument/2006/relationships/hyperlink" Target="https://en.wikipedia.org/wiki/Somerset_County,_Maryland" TargetMode="External"/><Relationship Id="rId3759" Type="http://schemas.openxmlformats.org/officeDocument/2006/relationships/hyperlink" Target="https://en.wikipedia.org/wiki/Seneca_County,_New_York" TargetMode="External"/><Relationship Id="rId2428" Type="http://schemas.openxmlformats.org/officeDocument/2006/relationships/hyperlink" Target="https://en.wikipedia.org/wiki/Maryland" TargetMode="External"/><Relationship Id="rId3758" Type="http://schemas.openxmlformats.org/officeDocument/2006/relationships/hyperlink" Target="https://en.wikipedia.org/wiki/New_York" TargetMode="External"/><Relationship Id="rId2429" Type="http://schemas.openxmlformats.org/officeDocument/2006/relationships/hyperlink" Target="https://en.wikipedia.org/wiki/Talbot_County,_Maryland" TargetMode="External"/><Relationship Id="rId3751" Type="http://schemas.openxmlformats.org/officeDocument/2006/relationships/hyperlink" Target="https://en.wikipedia.org/wiki/Saratoga_County,_New_York" TargetMode="External"/><Relationship Id="rId2420" Type="http://schemas.openxmlformats.org/officeDocument/2006/relationships/hyperlink" Target="https://en.wikipedia.org/wiki/Maryland" TargetMode="External"/><Relationship Id="rId3750" Type="http://schemas.openxmlformats.org/officeDocument/2006/relationships/hyperlink" Target="https://en.wikipedia.org/wiki/New_York" TargetMode="External"/><Relationship Id="rId2421" Type="http://schemas.openxmlformats.org/officeDocument/2006/relationships/hyperlink" Target="https://en.wikipedia.org/wiki/Prince_George%27s_County,_Maryland" TargetMode="External"/><Relationship Id="rId3753" Type="http://schemas.openxmlformats.org/officeDocument/2006/relationships/hyperlink" Target="https://en.wikipedia.org/wiki/Schenectady_County,_New_York" TargetMode="External"/><Relationship Id="rId2422" Type="http://schemas.openxmlformats.org/officeDocument/2006/relationships/hyperlink" Target="https://en.wikipedia.org/wiki/Maryland" TargetMode="External"/><Relationship Id="rId3752" Type="http://schemas.openxmlformats.org/officeDocument/2006/relationships/hyperlink" Target="https://en.wikipedia.org/wiki/New_York" TargetMode="External"/><Relationship Id="rId2412" Type="http://schemas.openxmlformats.org/officeDocument/2006/relationships/hyperlink" Target="https://en.wikipedia.org/wiki/Maryland" TargetMode="External"/><Relationship Id="rId3744" Type="http://schemas.openxmlformats.org/officeDocument/2006/relationships/hyperlink" Target="https://en.wikipedia.org/wiki/New_York" TargetMode="External"/><Relationship Id="rId2413" Type="http://schemas.openxmlformats.org/officeDocument/2006/relationships/hyperlink" Target="https://en.wikipedia.org/wiki/Harford_County,_Maryland" TargetMode="External"/><Relationship Id="rId3743" Type="http://schemas.openxmlformats.org/officeDocument/2006/relationships/hyperlink" Target="https://en.wikipedia.org/wiki/Rensselaer_County,_New_York" TargetMode="External"/><Relationship Id="rId2414" Type="http://schemas.openxmlformats.org/officeDocument/2006/relationships/hyperlink" Target="https://en.wikipedia.org/wiki/Maryland" TargetMode="External"/><Relationship Id="rId3746" Type="http://schemas.openxmlformats.org/officeDocument/2006/relationships/hyperlink" Target="https://en.wikipedia.org/wiki/New_York" TargetMode="External"/><Relationship Id="rId2415" Type="http://schemas.openxmlformats.org/officeDocument/2006/relationships/hyperlink" Target="https://en.wikipedia.org/wiki/Howard_County,_Maryland" TargetMode="External"/><Relationship Id="rId3745" Type="http://schemas.openxmlformats.org/officeDocument/2006/relationships/hyperlink" Target="https://en.wikipedia.org/wiki/Richmond_County,_New_York" TargetMode="External"/><Relationship Id="rId2416" Type="http://schemas.openxmlformats.org/officeDocument/2006/relationships/hyperlink" Target="https://en.wikipedia.org/wiki/Maryland" TargetMode="External"/><Relationship Id="rId3748" Type="http://schemas.openxmlformats.org/officeDocument/2006/relationships/hyperlink" Target="https://en.wikipedia.org/wiki/New_York" TargetMode="External"/><Relationship Id="rId2417" Type="http://schemas.openxmlformats.org/officeDocument/2006/relationships/hyperlink" Target="https://en.wikipedia.org/wiki/Kent_County,_Maryland" TargetMode="External"/><Relationship Id="rId3747" Type="http://schemas.openxmlformats.org/officeDocument/2006/relationships/hyperlink" Target="https://en.wikipedia.org/wiki/Rockland_County,_New_York" TargetMode="External"/><Relationship Id="rId2418" Type="http://schemas.openxmlformats.org/officeDocument/2006/relationships/hyperlink" Target="https://en.wikipedia.org/wiki/Maryland" TargetMode="External"/><Relationship Id="rId2419" Type="http://schemas.openxmlformats.org/officeDocument/2006/relationships/hyperlink" Target="https://en.wikipedia.org/wiki/Montgomery_County,_Maryland" TargetMode="External"/><Relationship Id="rId3749" Type="http://schemas.openxmlformats.org/officeDocument/2006/relationships/hyperlink" Target="https://en.wikipedia.org/wiki/St._Lawrence_County,_New_York" TargetMode="External"/><Relationship Id="rId3740" Type="http://schemas.openxmlformats.org/officeDocument/2006/relationships/hyperlink" Target="https://en.wikipedia.org/wiki/New_York" TargetMode="External"/><Relationship Id="rId2410" Type="http://schemas.openxmlformats.org/officeDocument/2006/relationships/hyperlink" Target="https://en.wikipedia.org/wiki/Maryland" TargetMode="External"/><Relationship Id="rId3742" Type="http://schemas.openxmlformats.org/officeDocument/2006/relationships/hyperlink" Target="https://en.wikipedia.org/wiki/New_York" TargetMode="External"/><Relationship Id="rId2411" Type="http://schemas.openxmlformats.org/officeDocument/2006/relationships/hyperlink" Target="https://en.wikipedia.org/wiki/Garrett_County,_Maryland" TargetMode="External"/><Relationship Id="rId3741" Type="http://schemas.openxmlformats.org/officeDocument/2006/relationships/hyperlink" Target="https://en.wikipedia.org/wiki/Queens_County,_New_York" TargetMode="External"/><Relationship Id="rId1114" Type="http://schemas.openxmlformats.org/officeDocument/2006/relationships/hyperlink" Target="https://en.wikipedia.org/wiki/Idaho" TargetMode="External"/><Relationship Id="rId2445" Type="http://schemas.openxmlformats.org/officeDocument/2006/relationships/hyperlink" Target="https://en.wikipedia.org/wiki/Dukes_County,_Massachusetts" TargetMode="External"/><Relationship Id="rId3777" Type="http://schemas.openxmlformats.org/officeDocument/2006/relationships/hyperlink" Target="https://en.wikipedia.org/wiki/Wayne_County,_New_York" TargetMode="External"/><Relationship Id="rId1115" Type="http://schemas.openxmlformats.org/officeDocument/2006/relationships/hyperlink" Target="https://en.wikipedia.org/wiki/Benewah_County,_Idaho" TargetMode="External"/><Relationship Id="rId2446" Type="http://schemas.openxmlformats.org/officeDocument/2006/relationships/hyperlink" Target="https://en.wikipedia.org/wiki/Massachusetts" TargetMode="External"/><Relationship Id="rId3776" Type="http://schemas.openxmlformats.org/officeDocument/2006/relationships/hyperlink" Target="https://en.wikipedia.org/wiki/New_York" TargetMode="External"/><Relationship Id="rId1116" Type="http://schemas.openxmlformats.org/officeDocument/2006/relationships/hyperlink" Target="https://en.wikipedia.org/wiki/Idaho" TargetMode="External"/><Relationship Id="rId2447" Type="http://schemas.openxmlformats.org/officeDocument/2006/relationships/hyperlink" Target="https://en.wikipedia.org/wiki/Essex_County,_Massachusetts" TargetMode="External"/><Relationship Id="rId3779" Type="http://schemas.openxmlformats.org/officeDocument/2006/relationships/hyperlink" Target="https://en.wikipedia.org/wiki/Westchester_County,_New_York" TargetMode="External"/><Relationship Id="rId1117" Type="http://schemas.openxmlformats.org/officeDocument/2006/relationships/hyperlink" Target="https://en.wikipedia.org/wiki/Bingham_County,_Idaho" TargetMode="External"/><Relationship Id="rId2448" Type="http://schemas.openxmlformats.org/officeDocument/2006/relationships/hyperlink" Target="https://en.wikipedia.org/wiki/Massachusetts" TargetMode="External"/><Relationship Id="rId3778" Type="http://schemas.openxmlformats.org/officeDocument/2006/relationships/hyperlink" Target="https://en.wikipedia.org/wiki/New_York" TargetMode="External"/><Relationship Id="rId1118" Type="http://schemas.openxmlformats.org/officeDocument/2006/relationships/hyperlink" Target="https://en.wikipedia.org/wiki/Idaho" TargetMode="External"/><Relationship Id="rId2449" Type="http://schemas.openxmlformats.org/officeDocument/2006/relationships/hyperlink" Target="https://en.wikipedia.org/wiki/Franklin_County,_Massachusetts" TargetMode="External"/><Relationship Id="rId1119" Type="http://schemas.openxmlformats.org/officeDocument/2006/relationships/hyperlink" Target="https://en.wikipedia.org/wiki/Blaine_County,_Idaho" TargetMode="External"/><Relationship Id="rId3771" Type="http://schemas.openxmlformats.org/officeDocument/2006/relationships/hyperlink" Target="https://en.wikipedia.org/wiki/Ulster_County,_New_York" TargetMode="External"/><Relationship Id="rId2440" Type="http://schemas.openxmlformats.org/officeDocument/2006/relationships/hyperlink" Target="https://en.wikipedia.org/wiki/Massachusetts" TargetMode="External"/><Relationship Id="rId3770" Type="http://schemas.openxmlformats.org/officeDocument/2006/relationships/hyperlink" Target="https://en.wikipedia.org/wiki/New_York" TargetMode="External"/><Relationship Id="rId1110" Type="http://schemas.openxmlformats.org/officeDocument/2006/relationships/hyperlink" Target="https://en.wikipedia.org/wiki/Idaho" TargetMode="External"/><Relationship Id="rId2441" Type="http://schemas.openxmlformats.org/officeDocument/2006/relationships/hyperlink" Target="https://en.wikipedia.org/wiki/Berkshire_County,_Massachusetts" TargetMode="External"/><Relationship Id="rId3773" Type="http://schemas.openxmlformats.org/officeDocument/2006/relationships/hyperlink" Target="https://en.wikipedia.org/wiki/Warren_County,_New_York" TargetMode="External"/><Relationship Id="rId1111" Type="http://schemas.openxmlformats.org/officeDocument/2006/relationships/hyperlink" Target="https://en.wikipedia.org/wiki/Bannock_County,_Idaho" TargetMode="External"/><Relationship Id="rId2442" Type="http://schemas.openxmlformats.org/officeDocument/2006/relationships/hyperlink" Target="https://en.wikipedia.org/wiki/Massachusetts" TargetMode="External"/><Relationship Id="rId3772" Type="http://schemas.openxmlformats.org/officeDocument/2006/relationships/hyperlink" Target="https://en.wikipedia.org/wiki/New_York" TargetMode="External"/><Relationship Id="rId1112" Type="http://schemas.openxmlformats.org/officeDocument/2006/relationships/hyperlink" Target="https://en.wikipedia.org/wiki/Idaho" TargetMode="External"/><Relationship Id="rId2443" Type="http://schemas.openxmlformats.org/officeDocument/2006/relationships/hyperlink" Target="https://en.wikipedia.org/wiki/Bristol_County,_Massachusetts" TargetMode="External"/><Relationship Id="rId3775" Type="http://schemas.openxmlformats.org/officeDocument/2006/relationships/hyperlink" Target="https://en.wikipedia.org/wiki/Washington_County,_New_York" TargetMode="External"/><Relationship Id="rId1113" Type="http://schemas.openxmlformats.org/officeDocument/2006/relationships/hyperlink" Target="https://en.wikipedia.org/wiki/Bear_Lake_County,_Idaho" TargetMode="External"/><Relationship Id="rId2444" Type="http://schemas.openxmlformats.org/officeDocument/2006/relationships/hyperlink" Target="https://en.wikipedia.org/wiki/Massachusetts" TargetMode="External"/><Relationship Id="rId3774" Type="http://schemas.openxmlformats.org/officeDocument/2006/relationships/hyperlink" Target="https://en.wikipedia.org/wiki/New_York" TargetMode="External"/><Relationship Id="rId1103" Type="http://schemas.openxmlformats.org/officeDocument/2006/relationships/hyperlink" Target="https://en.wikipedia.org/wiki/Kauai_County,_Hawaii" TargetMode="External"/><Relationship Id="rId2434" Type="http://schemas.openxmlformats.org/officeDocument/2006/relationships/hyperlink" Target="https://en.wikipedia.org/wiki/Maryland" TargetMode="External"/><Relationship Id="rId3766" Type="http://schemas.openxmlformats.org/officeDocument/2006/relationships/hyperlink" Target="https://en.wikipedia.org/wiki/New_York" TargetMode="External"/><Relationship Id="rId1104" Type="http://schemas.openxmlformats.org/officeDocument/2006/relationships/hyperlink" Target="https://en.wikipedia.org/wiki/Hawaii" TargetMode="External"/><Relationship Id="rId2435" Type="http://schemas.openxmlformats.org/officeDocument/2006/relationships/hyperlink" Target="https://en.wikipedia.org/wiki/Worcester_County,_Maryland" TargetMode="External"/><Relationship Id="rId3765" Type="http://schemas.openxmlformats.org/officeDocument/2006/relationships/hyperlink" Target="https://en.wikipedia.org/wiki/Sullivan_County,_New_York" TargetMode="External"/><Relationship Id="rId1105" Type="http://schemas.openxmlformats.org/officeDocument/2006/relationships/hyperlink" Target="https://en.wikipedia.org/wiki/Maui_County,_Hawaii" TargetMode="External"/><Relationship Id="rId2436" Type="http://schemas.openxmlformats.org/officeDocument/2006/relationships/hyperlink" Target="https://en.wikipedia.org/wiki/Maryland" TargetMode="External"/><Relationship Id="rId3768" Type="http://schemas.openxmlformats.org/officeDocument/2006/relationships/hyperlink" Target="https://en.wikipedia.org/wiki/New_York" TargetMode="External"/><Relationship Id="rId1106" Type="http://schemas.openxmlformats.org/officeDocument/2006/relationships/hyperlink" Target="https://en.wikipedia.org/wiki/Idaho" TargetMode="External"/><Relationship Id="rId2437" Type="http://schemas.openxmlformats.org/officeDocument/2006/relationships/hyperlink" Target="https://en.wikipedia.org/wiki/Baltimore,_Maryland" TargetMode="External"/><Relationship Id="rId3767" Type="http://schemas.openxmlformats.org/officeDocument/2006/relationships/hyperlink" Target="https://en.wikipedia.org/wiki/Tioga_County,_New_York" TargetMode="External"/><Relationship Id="rId1107" Type="http://schemas.openxmlformats.org/officeDocument/2006/relationships/hyperlink" Target="https://en.wikipedia.org/wiki/Ada_County,_Idaho" TargetMode="External"/><Relationship Id="rId2438" Type="http://schemas.openxmlformats.org/officeDocument/2006/relationships/hyperlink" Target="https://en.wikipedia.org/wiki/Massachusetts" TargetMode="External"/><Relationship Id="rId1108" Type="http://schemas.openxmlformats.org/officeDocument/2006/relationships/hyperlink" Target="https://en.wikipedia.org/wiki/Idaho" TargetMode="External"/><Relationship Id="rId2439" Type="http://schemas.openxmlformats.org/officeDocument/2006/relationships/hyperlink" Target="https://en.wikipedia.org/wiki/Barnstable_County,_Massachusetts" TargetMode="External"/><Relationship Id="rId3769" Type="http://schemas.openxmlformats.org/officeDocument/2006/relationships/hyperlink" Target="https://en.wikipedia.org/wiki/Tompkins_County,_New_York" TargetMode="External"/><Relationship Id="rId1109" Type="http://schemas.openxmlformats.org/officeDocument/2006/relationships/hyperlink" Target="https://en.wikipedia.org/wiki/Adams_County,_Idaho" TargetMode="External"/><Relationship Id="rId3760" Type="http://schemas.openxmlformats.org/officeDocument/2006/relationships/hyperlink" Target="https://en.wikipedia.org/wiki/New_York" TargetMode="External"/><Relationship Id="rId2430" Type="http://schemas.openxmlformats.org/officeDocument/2006/relationships/hyperlink" Target="https://en.wikipedia.org/wiki/Maryland" TargetMode="External"/><Relationship Id="rId3762" Type="http://schemas.openxmlformats.org/officeDocument/2006/relationships/hyperlink" Target="https://en.wikipedia.org/wiki/New_York" TargetMode="External"/><Relationship Id="rId1100" Type="http://schemas.openxmlformats.org/officeDocument/2006/relationships/hyperlink" Target="https://en.wikipedia.org/wiki/Hawaii" TargetMode="External"/><Relationship Id="rId2431" Type="http://schemas.openxmlformats.org/officeDocument/2006/relationships/hyperlink" Target="https://en.wikipedia.org/wiki/Washington_County,_Maryland" TargetMode="External"/><Relationship Id="rId3761" Type="http://schemas.openxmlformats.org/officeDocument/2006/relationships/hyperlink" Target="https://en.wikipedia.org/wiki/Steuben_County,_New_York" TargetMode="External"/><Relationship Id="rId1101" Type="http://schemas.openxmlformats.org/officeDocument/2006/relationships/hyperlink" Target="https://en.wikipedia.org/wiki/Kalawao_County,_Hawaii" TargetMode="External"/><Relationship Id="rId2432" Type="http://schemas.openxmlformats.org/officeDocument/2006/relationships/hyperlink" Target="https://en.wikipedia.org/wiki/Maryland" TargetMode="External"/><Relationship Id="rId3764" Type="http://schemas.openxmlformats.org/officeDocument/2006/relationships/hyperlink" Target="https://en.wikipedia.org/wiki/New_York" TargetMode="External"/><Relationship Id="rId1102" Type="http://schemas.openxmlformats.org/officeDocument/2006/relationships/hyperlink" Target="https://en.wikipedia.org/wiki/Hawaii" TargetMode="External"/><Relationship Id="rId2433" Type="http://schemas.openxmlformats.org/officeDocument/2006/relationships/hyperlink" Target="https://en.wikipedia.org/wiki/Wicomico_County,_Maryland" TargetMode="External"/><Relationship Id="rId3763" Type="http://schemas.openxmlformats.org/officeDocument/2006/relationships/hyperlink" Target="https://en.wikipedia.org/wiki/Suffolk_County,_New_York" TargetMode="External"/><Relationship Id="rId3711" Type="http://schemas.openxmlformats.org/officeDocument/2006/relationships/hyperlink" Target="https://en.wikipedia.org/wiki/Livingston_County,_New_York" TargetMode="External"/><Relationship Id="rId3710" Type="http://schemas.openxmlformats.org/officeDocument/2006/relationships/hyperlink" Target="https://en.wikipedia.org/wiki/New_York" TargetMode="External"/><Relationship Id="rId3713" Type="http://schemas.openxmlformats.org/officeDocument/2006/relationships/hyperlink" Target="https://en.wikipedia.org/wiki/Madison_County,_New_York" TargetMode="External"/><Relationship Id="rId3712" Type="http://schemas.openxmlformats.org/officeDocument/2006/relationships/hyperlink" Target="https://en.wikipedia.org/wiki/New_York" TargetMode="External"/><Relationship Id="rId3715" Type="http://schemas.openxmlformats.org/officeDocument/2006/relationships/hyperlink" Target="https://en.wikipedia.org/wiki/Monroe_County,_New_York" TargetMode="External"/><Relationship Id="rId3714" Type="http://schemas.openxmlformats.org/officeDocument/2006/relationships/hyperlink" Target="https://en.wikipedia.org/wiki/New_York" TargetMode="External"/><Relationship Id="rId3717" Type="http://schemas.openxmlformats.org/officeDocument/2006/relationships/hyperlink" Target="https://en.wikipedia.org/wiki/Montgomery_County,_New_York" TargetMode="External"/><Relationship Id="rId3716" Type="http://schemas.openxmlformats.org/officeDocument/2006/relationships/hyperlink" Target="https://en.wikipedia.org/wiki/New_York" TargetMode="External"/><Relationship Id="rId3719" Type="http://schemas.openxmlformats.org/officeDocument/2006/relationships/hyperlink" Target="https://en.wikipedia.org/wiki/Nassau_County,_New_York" TargetMode="External"/><Relationship Id="rId3718" Type="http://schemas.openxmlformats.org/officeDocument/2006/relationships/hyperlink" Target="https://en.wikipedia.org/wiki/New_York" TargetMode="External"/><Relationship Id="rId3700" Type="http://schemas.openxmlformats.org/officeDocument/2006/relationships/hyperlink" Target="https://en.wikipedia.org/wiki/New_York" TargetMode="External"/><Relationship Id="rId3702" Type="http://schemas.openxmlformats.org/officeDocument/2006/relationships/hyperlink" Target="https://en.wikipedia.org/wiki/New_York" TargetMode="External"/><Relationship Id="rId3701" Type="http://schemas.openxmlformats.org/officeDocument/2006/relationships/hyperlink" Target="https://en.wikipedia.org/wiki/Hamilton_County,_New_York" TargetMode="External"/><Relationship Id="rId3704" Type="http://schemas.openxmlformats.org/officeDocument/2006/relationships/hyperlink" Target="https://en.wikipedia.org/wiki/New_York" TargetMode="External"/><Relationship Id="rId3703" Type="http://schemas.openxmlformats.org/officeDocument/2006/relationships/hyperlink" Target="https://en.wikipedia.org/wiki/Herkimer_County,_New_York" TargetMode="External"/><Relationship Id="rId3706" Type="http://schemas.openxmlformats.org/officeDocument/2006/relationships/hyperlink" Target="https://en.wikipedia.org/wiki/New_York" TargetMode="External"/><Relationship Id="rId3705" Type="http://schemas.openxmlformats.org/officeDocument/2006/relationships/hyperlink" Target="https://en.wikipedia.org/wiki/Jefferson_County,_New_York" TargetMode="External"/><Relationship Id="rId3708" Type="http://schemas.openxmlformats.org/officeDocument/2006/relationships/hyperlink" Target="https://en.wikipedia.org/wiki/New_York" TargetMode="External"/><Relationship Id="rId3707" Type="http://schemas.openxmlformats.org/officeDocument/2006/relationships/hyperlink" Target="https://en.wikipedia.org/wiki/Kings_County,_New_York" TargetMode="External"/><Relationship Id="rId3709" Type="http://schemas.openxmlformats.org/officeDocument/2006/relationships/hyperlink" Target="https://en.wikipedia.org/wiki/Lewis_County,_New_York" TargetMode="External"/><Relationship Id="rId2401" Type="http://schemas.openxmlformats.org/officeDocument/2006/relationships/hyperlink" Target="https://en.wikipedia.org/wiki/Carroll_County,_Maryland" TargetMode="External"/><Relationship Id="rId3733" Type="http://schemas.openxmlformats.org/officeDocument/2006/relationships/hyperlink" Target="https://en.wikipedia.org/wiki/Orleans_County,_New_York" TargetMode="External"/><Relationship Id="rId2402" Type="http://schemas.openxmlformats.org/officeDocument/2006/relationships/hyperlink" Target="https://en.wikipedia.org/wiki/Maryland" TargetMode="External"/><Relationship Id="rId3732" Type="http://schemas.openxmlformats.org/officeDocument/2006/relationships/hyperlink" Target="https://en.wikipedia.org/wiki/New_York" TargetMode="External"/><Relationship Id="rId2403" Type="http://schemas.openxmlformats.org/officeDocument/2006/relationships/hyperlink" Target="https://en.wikipedia.org/wiki/Cecil_County,_Maryland" TargetMode="External"/><Relationship Id="rId3735" Type="http://schemas.openxmlformats.org/officeDocument/2006/relationships/hyperlink" Target="https://en.wikipedia.org/wiki/Oswego_County,_New_York" TargetMode="External"/><Relationship Id="rId2404" Type="http://schemas.openxmlformats.org/officeDocument/2006/relationships/hyperlink" Target="https://en.wikipedia.org/wiki/Maryland" TargetMode="External"/><Relationship Id="rId3734" Type="http://schemas.openxmlformats.org/officeDocument/2006/relationships/hyperlink" Target="https://en.wikipedia.org/wiki/New_York" TargetMode="External"/><Relationship Id="rId2405" Type="http://schemas.openxmlformats.org/officeDocument/2006/relationships/hyperlink" Target="https://en.wikipedia.org/wiki/Charles_County,_Maryland" TargetMode="External"/><Relationship Id="rId3737" Type="http://schemas.openxmlformats.org/officeDocument/2006/relationships/hyperlink" Target="https://en.wikipedia.org/wiki/Otsego_County,_New_York" TargetMode="External"/><Relationship Id="rId2406" Type="http://schemas.openxmlformats.org/officeDocument/2006/relationships/hyperlink" Target="https://en.wikipedia.org/wiki/Maryland" TargetMode="External"/><Relationship Id="rId3736" Type="http://schemas.openxmlformats.org/officeDocument/2006/relationships/hyperlink" Target="https://en.wikipedia.org/wiki/New_York" TargetMode="External"/><Relationship Id="rId2407" Type="http://schemas.openxmlformats.org/officeDocument/2006/relationships/hyperlink" Target="https://en.wikipedia.org/wiki/Dorchester_County,_Maryland" TargetMode="External"/><Relationship Id="rId3739" Type="http://schemas.openxmlformats.org/officeDocument/2006/relationships/hyperlink" Target="https://en.wikipedia.org/wiki/Putnam_County,_New_York" TargetMode="External"/><Relationship Id="rId2408" Type="http://schemas.openxmlformats.org/officeDocument/2006/relationships/hyperlink" Target="https://en.wikipedia.org/wiki/Maryland" TargetMode="External"/><Relationship Id="rId3738" Type="http://schemas.openxmlformats.org/officeDocument/2006/relationships/hyperlink" Target="https://en.wikipedia.org/wiki/New_York" TargetMode="External"/><Relationship Id="rId2409" Type="http://schemas.openxmlformats.org/officeDocument/2006/relationships/hyperlink" Target="https://en.wikipedia.org/wiki/Frederick_County,_Maryland" TargetMode="External"/><Relationship Id="rId3731" Type="http://schemas.openxmlformats.org/officeDocument/2006/relationships/hyperlink" Target="https://en.wikipedia.org/wiki/Orange_County,_New_York" TargetMode="External"/><Relationship Id="rId2400" Type="http://schemas.openxmlformats.org/officeDocument/2006/relationships/hyperlink" Target="https://en.wikipedia.org/wiki/Maryland" TargetMode="External"/><Relationship Id="rId3730" Type="http://schemas.openxmlformats.org/officeDocument/2006/relationships/hyperlink" Target="https://en.wikipedia.org/wiki/New_York" TargetMode="External"/><Relationship Id="rId3722" Type="http://schemas.openxmlformats.org/officeDocument/2006/relationships/hyperlink" Target="https://en.wikipedia.org/wiki/New_York" TargetMode="External"/><Relationship Id="rId3721" Type="http://schemas.openxmlformats.org/officeDocument/2006/relationships/hyperlink" Target="https://en.wikipedia.org/wiki/New_York_County,_New_York" TargetMode="External"/><Relationship Id="rId3724" Type="http://schemas.openxmlformats.org/officeDocument/2006/relationships/hyperlink" Target="https://en.wikipedia.org/wiki/New_York" TargetMode="External"/><Relationship Id="rId3723" Type="http://schemas.openxmlformats.org/officeDocument/2006/relationships/hyperlink" Target="https://en.wikipedia.org/wiki/Niagara_County,_New_York" TargetMode="External"/><Relationship Id="rId3726" Type="http://schemas.openxmlformats.org/officeDocument/2006/relationships/hyperlink" Target="https://en.wikipedia.org/wiki/New_York" TargetMode="External"/><Relationship Id="rId3725" Type="http://schemas.openxmlformats.org/officeDocument/2006/relationships/hyperlink" Target="https://en.wikipedia.org/wiki/Oneida_County,_New_York" TargetMode="External"/><Relationship Id="rId3728" Type="http://schemas.openxmlformats.org/officeDocument/2006/relationships/hyperlink" Target="https://en.wikipedia.org/wiki/New_York" TargetMode="External"/><Relationship Id="rId3727" Type="http://schemas.openxmlformats.org/officeDocument/2006/relationships/hyperlink" Target="https://en.wikipedia.org/wiki/Onondaga_County,_New_York" TargetMode="External"/><Relationship Id="rId3729" Type="http://schemas.openxmlformats.org/officeDocument/2006/relationships/hyperlink" Target="https://en.wikipedia.org/wiki/Ontario_County,_New_York" TargetMode="External"/><Relationship Id="rId3720" Type="http://schemas.openxmlformats.org/officeDocument/2006/relationships/hyperlink" Target="https://en.wikipedia.org/wiki/New_York" TargetMode="External"/><Relationship Id="rId1170" Type="http://schemas.openxmlformats.org/officeDocument/2006/relationships/hyperlink" Target="https://en.wikipedia.org/wiki/Idaho" TargetMode="External"/><Relationship Id="rId1171" Type="http://schemas.openxmlformats.org/officeDocument/2006/relationships/hyperlink" Target="https://en.wikipedia.org/wiki/Madison_County,_Idaho" TargetMode="External"/><Relationship Id="rId1172" Type="http://schemas.openxmlformats.org/officeDocument/2006/relationships/hyperlink" Target="https://en.wikipedia.org/wiki/Idaho" TargetMode="External"/><Relationship Id="rId1173" Type="http://schemas.openxmlformats.org/officeDocument/2006/relationships/hyperlink" Target="https://en.wikipedia.org/wiki/Minidoka_County,_Idaho" TargetMode="External"/><Relationship Id="rId1174" Type="http://schemas.openxmlformats.org/officeDocument/2006/relationships/hyperlink" Target="https://en.wikipedia.org/wiki/Idaho" TargetMode="External"/><Relationship Id="rId1175" Type="http://schemas.openxmlformats.org/officeDocument/2006/relationships/hyperlink" Target="https://en.wikipedia.org/wiki/Nez_Perce_County,_Idaho" TargetMode="External"/><Relationship Id="rId1176" Type="http://schemas.openxmlformats.org/officeDocument/2006/relationships/hyperlink" Target="https://en.wikipedia.org/wiki/Idaho" TargetMode="External"/><Relationship Id="rId1177" Type="http://schemas.openxmlformats.org/officeDocument/2006/relationships/hyperlink" Target="https://en.wikipedia.org/wiki/Oneida_County,_Idaho" TargetMode="External"/><Relationship Id="rId1178" Type="http://schemas.openxmlformats.org/officeDocument/2006/relationships/hyperlink" Target="https://en.wikipedia.org/wiki/Idaho" TargetMode="External"/><Relationship Id="rId1179" Type="http://schemas.openxmlformats.org/officeDocument/2006/relationships/hyperlink" Target="https://en.wikipedia.org/wiki/Owyhee_County,_Idaho" TargetMode="External"/><Relationship Id="rId1169" Type="http://schemas.openxmlformats.org/officeDocument/2006/relationships/hyperlink" Target="https://en.wikipedia.org/wiki/Lincoln_County,_Idaho" TargetMode="External"/><Relationship Id="rId2490" Type="http://schemas.openxmlformats.org/officeDocument/2006/relationships/hyperlink" Target="https://en.wikipedia.org/wiki/Michigan" TargetMode="External"/><Relationship Id="rId1160" Type="http://schemas.openxmlformats.org/officeDocument/2006/relationships/hyperlink" Target="https://en.wikipedia.org/wiki/Idaho" TargetMode="External"/><Relationship Id="rId2491" Type="http://schemas.openxmlformats.org/officeDocument/2006/relationships/hyperlink" Target="https://en.wikipedia.org/wiki/Calhoun_County,_Michigan" TargetMode="External"/><Relationship Id="rId1161" Type="http://schemas.openxmlformats.org/officeDocument/2006/relationships/hyperlink" Target="https://en.wikipedia.org/wiki/Kootenai_County,_Idaho" TargetMode="External"/><Relationship Id="rId2492" Type="http://schemas.openxmlformats.org/officeDocument/2006/relationships/hyperlink" Target="https://en.wikipedia.org/wiki/Michigan" TargetMode="External"/><Relationship Id="rId1162" Type="http://schemas.openxmlformats.org/officeDocument/2006/relationships/hyperlink" Target="https://en.wikipedia.org/wiki/Idaho" TargetMode="External"/><Relationship Id="rId2493" Type="http://schemas.openxmlformats.org/officeDocument/2006/relationships/hyperlink" Target="https://en.wikipedia.org/wiki/Cass_County,_Michigan" TargetMode="External"/><Relationship Id="rId1163" Type="http://schemas.openxmlformats.org/officeDocument/2006/relationships/hyperlink" Target="https://en.wikipedia.org/wiki/Latah_County,_Idaho" TargetMode="External"/><Relationship Id="rId2494" Type="http://schemas.openxmlformats.org/officeDocument/2006/relationships/hyperlink" Target="https://en.wikipedia.org/wiki/Michigan" TargetMode="External"/><Relationship Id="rId1164" Type="http://schemas.openxmlformats.org/officeDocument/2006/relationships/hyperlink" Target="https://en.wikipedia.org/wiki/Idaho" TargetMode="External"/><Relationship Id="rId2495" Type="http://schemas.openxmlformats.org/officeDocument/2006/relationships/hyperlink" Target="https://en.wikipedia.org/wiki/Charlevoix_County,_Michigan" TargetMode="External"/><Relationship Id="rId1165" Type="http://schemas.openxmlformats.org/officeDocument/2006/relationships/hyperlink" Target="https://en.wikipedia.org/wiki/Lemhi_County,_Idaho" TargetMode="External"/><Relationship Id="rId2496" Type="http://schemas.openxmlformats.org/officeDocument/2006/relationships/hyperlink" Target="https://en.wikipedia.org/wiki/Michigan" TargetMode="External"/><Relationship Id="rId1166" Type="http://schemas.openxmlformats.org/officeDocument/2006/relationships/hyperlink" Target="https://en.wikipedia.org/wiki/Idaho" TargetMode="External"/><Relationship Id="rId2497" Type="http://schemas.openxmlformats.org/officeDocument/2006/relationships/hyperlink" Target="https://en.wikipedia.org/wiki/Cheboygan_County,_Michigan" TargetMode="External"/><Relationship Id="rId1167" Type="http://schemas.openxmlformats.org/officeDocument/2006/relationships/hyperlink" Target="https://en.wikipedia.org/wiki/Lewis_County,_Idaho" TargetMode="External"/><Relationship Id="rId2498" Type="http://schemas.openxmlformats.org/officeDocument/2006/relationships/hyperlink" Target="https://en.wikipedia.org/wiki/Michigan" TargetMode="External"/><Relationship Id="rId1168" Type="http://schemas.openxmlformats.org/officeDocument/2006/relationships/hyperlink" Target="https://en.wikipedia.org/wiki/Idaho" TargetMode="External"/><Relationship Id="rId2499" Type="http://schemas.openxmlformats.org/officeDocument/2006/relationships/hyperlink" Target="https://en.wikipedia.org/wiki/Chippewa_County,_Michigan" TargetMode="External"/><Relationship Id="rId1190" Type="http://schemas.openxmlformats.org/officeDocument/2006/relationships/hyperlink" Target="https://en.wikipedia.org/wiki/Idaho" TargetMode="External"/><Relationship Id="rId1191" Type="http://schemas.openxmlformats.org/officeDocument/2006/relationships/hyperlink" Target="https://en.wikipedia.org/wiki/Valley_County,_Idaho" TargetMode="External"/><Relationship Id="rId1192" Type="http://schemas.openxmlformats.org/officeDocument/2006/relationships/hyperlink" Target="https://en.wikipedia.org/wiki/Idaho" TargetMode="External"/><Relationship Id="rId1193" Type="http://schemas.openxmlformats.org/officeDocument/2006/relationships/hyperlink" Target="https://en.wikipedia.org/wiki/Washington_County,_Idaho" TargetMode="External"/><Relationship Id="rId1194" Type="http://schemas.openxmlformats.org/officeDocument/2006/relationships/hyperlink" Target="https://en.wikipedia.org/wiki/Illinois" TargetMode="External"/><Relationship Id="rId1195" Type="http://schemas.openxmlformats.org/officeDocument/2006/relationships/hyperlink" Target="https://en.wikipedia.org/wiki/Adams_County,_Illinois" TargetMode="External"/><Relationship Id="rId1196" Type="http://schemas.openxmlformats.org/officeDocument/2006/relationships/hyperlink" Target="https://en.wikipedia.org/wiki/Illinois" TargetMode="External"/><Relationship Id="rId1197" Type="http://schemas.openxmlformats.org/officeDocument/2006/relationships/hyperlink" Target="https://en.wikipedia.org/wiki/Alexander_County,_Illinois" TargetMode="External"/><Relationship Id="rId1198" Type="http://schemas.openxmlformats.org/officeDocument/2006/relationships/hyperlink" Target="https://en.wikipedia.org/wiki/Illinois" TargetMode="External"/><Relationship Id="rId1199" Type="http://schemas.openxmlformats.org/officeDocument/2006/relationships/hyperlink" Target="https://en.wikipedia.org/wiki/Bond_County,_Illinois" TargetMode="External"/><Relationship Id="rId1180" Type="http://schemas.openxmlformats.org/officeDocument/2006/relationships/hyperlink" Target="https://en.wikipedia.org/wiki/Idaho" TargetMode="External"/><Relationship Id="rId1181" Type="http://schemas.openxmlformats.org/officeDocument/2006/relationships/hyperlink" Target="https://en.wikipedia.org/wiki/Payette_County,_Idaho" TargetMode="External"/><Relationship Id="rId1182" Type="http://schemas.openxmlformats.org/officeDocument/2006/relationships/hyperlink" Target="https://en.wikipedia.org/wiki/Idaho" TargetMode="External"/><Relationship Id="rId1183" Type="http://schemas.openxmlformats.org/officeDocument/2006/relationships/hyperlink" Target="https://en.wikipedia.org/wiki/Power_County,_Idaho" TargetMode="External"/><Relationship Id="rId1184" Type="http://schemas.openxmlformats.org/officeDocument/2006/relationships/hyperlink" Target="https://en.wikipedia.org/wiki/Idaho" TargetMode="External"/><Relationship Id="rId1185" Type="http://schemas.openxmlformats.org/officeDocument/2006/relationships/hyperlink" Target="https://en.wikipedia.org/wiki/Shoshone_County,_Idaho" TargetMode="External"/><Relationship Id="rId1186" Type="http://schemas.openxmlformats.org/officeDocument/2006/relationships/hyperlink" Target="https://en.wikipedia.org/wiki/Idaho" TargetMode="External"/><Relationship Id="rId1187" Type="http://schemas.openxmlformats.org/officeDocument/2006/relationships/hyperlink" Target="https://en.wikipedia.org/wiki/Teton_County,_Idaho" TargetMode="External"/><Relationship Id="rId1188" Type="http://schemas.openxmlformats.org/officeDocument/2006/relationships/hyperlink" Target="https://en.wikipedia.org/wiki/Idaho" TargetMode="External"/><Relationship Id="rId1189" Type="http://schemas.openxmlformats.org/officeDocument/2006/relationships/hyperlink" Target="https://en.wikipedia.org/wiki/Twin_Falls_County,_Idaho" TargetMode="External"/><Relationship Id="rId1136" Type="http://schemas.openxmlformats.org/officeDocument/2006/relationships/hyperlink" Target="https://en.wikipedia.org/wiki/Idaho" TargetMode="External"/><Relationship Id="rId2467" Type="http://schemas.openxmlformats.org/officeDocument/2006/relationships/hyperlink" Target="https://en.wikipedia.org/wiki/Alcona_County,_Michigan" TargetMode="External"/><Relationship Id="rId3799" Type="http://schemas.openxmlformats.org/officeDocument/2006/relationships/hyperlink" Target="https://en.wikipedia.org/wiki/Bertie_County,_North_Carolina" TargetMode="External"/><Relationship Id="rId1137" Type="http://schemas.openxmlformats.org/officeDocument/2006/relationships/hyperlink" Target="https://en.wikipedia.org/wiki/Cassia_County,_Idaho" TargetMode="External"/><Relationship Id="rId2468" Type="http://schemas.openxmlformats.org/officeDocument/2006/relationships/hyperlink" Target="https://en.wikipedia.org/wiki/Michigan" TargetMode="External"/><Relationship Id="rId3798" Type="http://schemas.openxmlformats.org/officeDocument/2006/relationships/hyperlink" Target="https://en.wikipedia.org/wiki/North_Carolina" TargetMode="External"/><Relationship Id="rId1138" Type="http://schemas.openxmlformats.org/officeDocument/2006/relationships/hyperlink" Target="https://en.wikipedia.org/wiki/Idaho" TargetMode="External"/><Relationship Id="rId2469" Type="http://schemas.openxmlformats.org/officeDocument/2006/relationships/hyperlink" Target="https://en.wikipedia.org/wiki/Alger_County,_Michigan" TargetMode="External"/><Relationship Id="rId1139" Type="http://schemas.openxmlformats.org/officeDocument/2006/relationships/hyperlink" Target="https://en.wikipedia.org/wiki/Clark_County,_Idaho" TargetMode="External"/><Relationship Id="rId3791" Type="http://schemas.openxmlformats.org/officeDocument/2006/relationships/hyperlink" Target="https://en.wikipedia.org/wiki/Anson_County,_North_Carolina" TargetMode="External"/><Relationship Id="rId2460" Type="http://schemas.openxmlformats.org/officeDocument/2006/relationships/hyperlink" Target="https://en.wikipedia.org/wiki/Massachusetts" TargetMode="External"/><Relationship Id="rId3790" Type="http://schemas.openxmlformats.org/officeDocument/2006/relationships/hyperlink" Target="https://en.wikipedia.org/wiki/North_Carolina" TargetMode="External"/><Relationship Id="rId1130" Type="http://schemas.openxmlformats.org/officeDocument/2006/relationships/hyperlink" Target="https://en.wikipedia.org/wiki/Idaho" TargetMode="External"/><Relationship Id="rId2461" Type="http://schemas.openxmlformats.org/officeDocument/2006/relationships/hyperlink" Target="https://en.wikipedia.org/wiki/Plymouth_County,_Massachusetts" TargetMode="External"/><Relationship Id="rId3793" Type="http://schemas.openxmlformats.org/officeDocument/2006/relationships/hyperlink" Target="https://en.wikipedia.org/wiki/Ashe_County,_North_Carolina" TargetMode="External"/><Relationship Id="rId1131" Type="http://schemas.openxmlformats.org/officeDocument/2006/relationships/hyperlink" Target="https://en.wikipedia.org/wiki/Camas_County,_Idaho" TargetMode="External"/><Relationship Id="rId2462" Type="http://schemas.openxmlformats.org/officeDocument/2006/relationships/hyperlink" Target="https://en.wikipedia.org/wiki/Massachusetts" TargetMode="External"/><Relationship Id="rId3792" Type="http://schemas.openxmlformats.org/officeDocument/2006/relationships/hyperlink" Target="https://en.wikipedia.org/wiki/North_Carolina" TargetMode="External"/><Relationship Id="rId1132" Type="http://schemas.openxmlformats.org/officeDocument/2006/relationships/hyperlink" Target="https://en.wikipedia.org/wiki/Idaho" TargetMode="External"/><Relationship Id="rId2463" Type="http://schemas.openxmlformats.org/officeDocument/2006/relationships/hyperlink" Target="https://en.wikipedia.org/wiki/Suffolk_County,_Massachusetts" TargetMode="External"/><Relationship Id="rId3795" Type="http://schemas.openxmlformats.org/officeDocument/2006/relationships/hyperlink" Target="https://en.wikipedia.org/wiki/Avery_County,_North_Carolina" TargetMode="External"/><Relationship Id="rId1133" Type="http://schemas.openxmlformats.org/officeDocument/2006/relationships/hyperlink" Target="https://en.wikipedia.org/wiki/Canyon_County,_Idaho" TargetMode="External"/><Relationship Id="rId2464" Type="http://schemas.openxmlformats.org/officeDocument/2006/relationships/hyperlink" Target="https://en.wikipedia.org/wiki/Massachusetts" TargetMode="External"/><Relationship Id="rId3794" Type="http://schemas.openxmlformats.org/officeDocument/2006/relationships/hyperlink" Target="https://en.wikipedia.org/wiki/North_Carolina" TargetMode="External"/><Relationship Id="rId1134" Type="http://schemas.openxmlformats.org/officeDocument/2006/relationships/hyperlink" Target="https://en.wikipedia.org/wiki/Idaho" TargetMode="External"/><Relationship Id="rId2465" Type="http://schemas.openxmlformats.org/officeDocument/2006/relationships/hyperlink" Target="https://en.wikipedia.org/wiki/Worcester_County,_Massachusetts" TargetMode="External"/><Relationship Id="rId3797" Type="http://schemas.openxmlformats.org/officeDocument/2006/relationships/hyperlink" Target="https://en.wikipedia.org/wiki/Beaufort_County,_North_Carolina" TargetMode="External"/><Relationship Id="rId1135" Type="http://schemas.openxmlformats.org/officeDocument/2006/relationships/hyperlink" Target="https://en.wikipedia.org/wiki/Caribou_County,_Idaho" TargetMode="External"/><Relationship Id="rId2466" Type="http://schemas.openxmlformats.org/officeDocument/2006/relationships/hyperlink" Target="https://en.wikipedia.org/wiki/Michigan" TargetMode="External"/><Relationship Id="rId3796" Type="http://schemas.openxmlformats.org/officeDocument/2006/relationships/hyperlink" Target="https://en.wikipedia.org/wiki/North_Carolina" TargetMode="External"/><Relationship Id="rId1125" Type="http://schemas.openxmlformats.org/officeDocument/2006/relationships/hyperlink" Target="https://en.wikipedia.org/wiki/Bonneville_County,_Idaho" TargetMode="External"/><Relationship Id="rId2456" Type="http://schemas.openxmlformats.org/officeDocument/2006/relationships/hyperlink" Target="https://en.wikipedia.org/wiki/Massachusetts" TargetMode="External"/><Relationship Id="rId3788" Type="http://schemas.openxmlformats.org/officeDocument/2006/relationships/hyperlink" Target="https://en.wikipedia.org/wiki/North_Carolina" TargetMode="External"/><Relationship Id="rId1126" Type="http://schemas.openxmlformats.org/officeDocument/2006/relationships/hyperlink" Target="https://en.wikipedia.org/wiki/Idaho" TargetMode="External"/><Relationship Id="rId2457" Type="http://schemas.openxmlformats.org/officeDocument/2006/relationships/hyperlink" Target="https://en.wikipedia.org/wiki/Nantucket_County,_Massachusetts" TargetMode="External"/><Relationship Id="rId3787" Type="http://schemas.openxmlformats.org/officeDocument/2006/relationships/hyperlink" Target="https://en.wikipedia.org/wiki/Alexander_County,_North_Carolina" TargetMode="External"/><Relationship Id="rId1127" Type="http://schemas.openxmlformats.org/officeDocument/2006/relationships/hyperlink" Target="https://en.wikipedia.org/wiki/Boundary_County,_Idaho" TargetMode="External"/><Relationship Id="rId2458" Type="http://schemas.openxmlformats.org/officeDocument/2006/relationships/hyperlink" Target="https://en.wikipedia.org/wiki/Massachusetts" TargetMode="External"/><Relationship Id="rId1128" Type="http://schemas.openxmlformats.org/officeDocument/2006/relationships/hyperlink" Target="https://en.wikipedia.org/wiki/Idaho" TargetMode="External"/><Relationship Id="rId2459" Type="http://schemas.openxmlformats.org/officeDocument/2006/relationships/hyperlink" Target="https://en.wikipedia.org/wiki/Norfolk_County,_Massachusetts" TargetMode="External"/><Relationship Id="rId3789" Type="http://schemas.openxmlformats.org/officeDocument/2006/relationships/hyperlink" Target="https://en.wikipedia.org/wiki/Alleghany_County,_North_Carolina" TargetMode="External"/><Relationship Id="rId1129" Type="http://schemas.openxmlformats.org/officeDocument/2006/relationships/hyperlink" Target="https://en.wikipedia.org/wiki/Butte_County,_Idaho" TargetMode="External"/><Relationship Id="rId3780" Type="http://schemas.openxmlformats.org/officeDocument/2006/relationships/hyperlink" Target="https://en.wikipedia.org/wiki/New_York" TargetMode="External"/><Relationship Id="rId2450" Type="http://schemas.openxmlformats.org/officeDocument/2006/relationships/hyperlink" Target="https://en.wikipedia.org/wiki/Massachusetts" TargetMode="External"/><Relationship Id="rId3782" Type="http://schemas.openxmlformats.org/officeDocument/2006/relationships/hyperlink" Target="https://en.wikipedia.org/wiki/New_York" TargetMode="External"/><Relationship Id="rId1120" Type="http://schemas.openxmlformats.org/officeDocument/2006/relationships/hyperlink" Target="https://en.wikipedia.org/wiki/Idaho" TargetMode="External"/><Relationship Id="rId2451" Type="http://schemas.openxmlformats.org/officeDocument/2006/relationships/hyperlink" Target="https://en.wikipedia.org/wiki/Hampden_County,_Massachusetts" TargetMode="External"/><Relationship Id="rId3781" Type="http://schemas.openxmlformats.org/officeDocument/2006/relationships/hyperlink" Target="https://en.wikipedia.org/wiki/Wyoming_County,_New_York" TargetMode="External"/><Relationship Id="rId1121" Type="http://schemas.openxmlformats.org/officeDocument/2006/relationships/hyperlink" Target="https://en.wikipedia.org/wiki/Boise_County,_Idaho" TargetMode="External"/><Relationship Id="rId2452" Type="http://schemas.openxmlformats.org/officeDocument/2006/relationships/hyperlink" Target="https://en.wikipedia.org/wiki/Massachusetts" TargetMode="External"/><Relationship Id="rId3784" Type="http://schemas.openxmlformats.org/officeDocument/2006/relationships/hyperlink" Target="https://en.wikipedia.org/wiki/North_Carolina" TargetMode="External"/><Relationship Id="rId1122" Type="http://schemas.openxmlformats.org/officeDocument/2006/relationships/hyperlink" Target="https://en.wikipedia.org/wiki/Idaho" TargetMode="External"/><Relationship Id="rId2453" Type="http://schemas.openxmlformats.org/officeDocument/2006/relationships/hyperlink" Target="https://en.wikipedia.org/wiki/Hampshire_County,_Massachusetts" TargetMode="External"/><Relationship Id="rId3783" Type="http://schemas.openxmlformats.org/officeDocument/2006/relationships/hyperlink" Target="https://en.wikipedia.org/wiki/Yates_County,_New_York" TargetMode="External"/><Relationship Id="rId1123" Type="http://schemas.openxmlformats.org/officeDocument/2006/relationships/hyperlink" Target="https://en.wikipedia.org/wiki/Bonner_County,_Idaho" TargetMode="External"/><Relationship Id="rId2454" Type="http://schemas.openxmlformats.org/officeDocument/2006/relationships/hyperlink" Target="https://en.wikipedia.org/wiki/Massachusetts" TargetMode="External"/><Relationship Id="rId3786" Type="http://schemas.openxmlformats.org/officeDocument/2006/relationships/hyperlink" Target="https://en.wikipedia.org/wiki/North_Carolina" TargetMode="External"/><Relationship Id="rId1124" Type="http://schemas.openxmlformats.org/officeDocument/2006/relationships/hyperlink" Target="https://en.wikipedia.org/wiki/Idaho" TargetMode="External"/><Relationship Id="rId2455" Type="http://schemas.openxmlformats.org/officeDocument/2006/relationships/hyperlink" Target="https://en.wikipedia.org/wiki/Middlesex_County,_Massachusetts" TargetMode="External"/><Relationship Id="rId3785" Type="http://schemas.openxmlformats.org/officeDocument/2006/relationships/hyperlink" Target="https://en.wikipedia.org/wiki/Alamance_County,_North_Carolina" TargetMode="External"/><Relationship Id="rId1158" Type="http://schemas.openxmlformats.org/officeDocument/2006/relationships/hyperlink" Target="https://en.wikipedia.org/wiki/Idaho" TargetMode="External"/><Relationship Id="rId2489" Type="http://schemas.openxmlformats.org/officeDocument/2006/relationships/hyperlink" Target="https://en.wikipedia.org/wiki/Branch_County,_Michigan" TargetMode="External"/><Relationship Id="rId1159" Type="http://schemas.openxmlformats.org/officeDocument/2006/relationships/hyperlink" Target="https://en.wikipedia.org/wiki/Jerome_County,_Idaho" TargetMode="External"/><Relationship Id="rId2480" Type="http://schemas.openxmlformats.org/officeDocument/2006/relationships/hyperlink" Target="https://en.wikipedia.org/wiki/Michigan" TargetMode="External"/><Relationship Id="rId1150" Type="http://schemas.openxmlformats.org/officeDocument/2006/relationships/hyperlink" Target="https://en.wikipedia.org/wiki/Idaho" TargetMode="External"/><Relationship Id="rId2481" Type="http://schemas.openxmlformats.org/officeDocument/2006/relationships/hyperlink" Target="https://en.wikipedia.org/wiki/Barry_County,_Michigan" TargetMode="External"/><Relationship Id="rId1151" Type="http://schemas.openxmlformats.org/officeDocument/2006/relationships/hyperlink" Target="https://en.wikipedia.org/wiki/Gem_County,_Idaho" TargetMode="External"/><Relationship Id="rId2482" Type="http://schemas.openxmlformats.org/officeDocument/2006/relationships/hyperlink" Target="https://en.wikipedia.org/wiki/Michigan" TargetMode="External"/><Relationship Id="rId1152" Type="http://schemas.openxmlformats.org/officeDocument/2006/relationships/hyperlink" Target="https://en.wikipedia.org/wiki/Idaho" TargetMode="External"/><Relationship Id="rId2483" Type="http://schemas.openxmlformats.org/officeDocument/2006/relationships/hyperlink" Target="https://en.wikipedia.org/wiki/Bay_County,_Michigan" TargetMode="External"/><Relationship Id="rId1153" Type="http://schemas.openxmlformats.org/officeDocument/2006/relationships/hyperlink" Target="https://en.wikipedia.org/wiki/Gooding_County,_Idaho" TargetMode="External"/><Relationship Id="rId2484" Type="http://schemas.openxmlformats.org/officeDocument/2006/relationships/hyperlink" Target="https://en.wikipedia.org/wiki/Michigan" TargetMode="External"/><Relationship Id="rId1154" Type="http://schemas.openxmlformats.org/officeDocument/2006/relationships/hyperlink" Target="https://en.wikipedia.org/wiki/Idaho" TargetMode="External"/><Relationship Id="rId2485" Type="http://schemas.openxmlformats.org/officeDocument/2006/relationships/hyperlink" Target="https://en.wikipedia.org/wiki/Benzie_County,_Michigan" TargetMode="External"/><Relationship Id="rId1155" Type="http://schemas.openxmlformats.org/officeDocument/2006/relationships/hyperlink" Target="https://en.wikipedia.org/wiki/Idaho_County,_Idaho" TargetMode="External"/><Relationship Id="rId2486" Type="http://schemas.openxmlformats.org/officeDocument/2006/relationships/hyperlink" Target="https://en.wikipedia.org/wiki/Michigan" TargetMode="External"/><Relationship Id="rId1156" Type="http://schemas.openxmlformats.org/officeDocument/2006/relationships/hyperlink" Target="https://en.wikipedia.org/wiki/Idaho" TargetMode="External"/><Relationship Id="rId2487" Type="http://schemas.openxmlformats.org/officeDocument/2006/relationships/hyperlink" Target="https://en.wikipedia.org/wiki/Berrien_County,_Michigan" TargetMode="External"/><Relationship Id="rId1157" Type="http://schemas.openxmlformats.org/officeDocument/2006/relationships/hyperlink" Target="https://en.wikipedia.org/wiki/Jefferson_County,_Idaho" TargetMode="External"/><Relationship Id="rId2488" Type="http://schemas.openxmlformats.org/officeDocument/2006/relationships/hyperlink" Target="https://en.wikipedia.org/wiki/Michigan" TargetMode="External"/><Relationship Id="rId1147" Type="http://schemas.openxmlformats.org/officeDocument/2006/relationships/hyperlink" Target="https://en.wikipedia.org/wiki/Franklin_County,_Idaho" TargetMode="External"/><Relationship Id="rId2478" Type="http://schemas.openxmlformats.org/officeDocument/2006/relationships/hyperlink" Target="https://en.wikipedia.org/wiki/Michigan" TargetMode="External"/><Relationship Id="rId1148" Type="http://schemas.openxmlformats.org/officeDocument/2006/relationships/hyperlink" Target="https://en.wikipedia.org/wiki/Idaho" TargetMode="External"/><Relationship Id="rId2479" Type="http://schemas.openxmlformats.org/officeDocument/2006/relationships/hyperlink" Target="https://en.wikipedia.org/wiki/Baraga_County,_Michigan" TargetMode="External"/><Relationship Id="rId1149" Type="http://schemas.openxmlformats.org/officeDocument/2006/relationships/hyperlink" Target="https://en.wikipedia.org/wiki/Fremont_County,_Idaho" TargetMode="External"/><Relationship Id="rId2470" Type="http://schemas.openxmlformats.org/officeDocument/2006/relationships/hyperlink" Target="https://en.wikipedia.org/wiki/Michigan" TargetMode="External"/><Relationship Id="rId1140" Type="http://schemas.openxmlformats.org/officeDocument/2006/relationships/hyperlink" Target="https://en.wikipedia.org/wiki/Idaho" TargetMode="External"/><Relationship Id="rId2471" Type="http://schemas.openxmlformats.org/officeDocument/2006/relationships/hyperlink" Target="https://en.wikipedia.org/wiki/Allegan_County,_Michigan" TargetMode="External"/><Relationship Id="rId1141" Type="http://schemas.openxmlformats.org/officeDocument/2006/relationships/hyperlink" Target="https://en.wikipedia.org/wiki/Clearwater_County,_Idaho" TargetMode="External"/><Relationship Id="rId2472" Type="http://schemas.openxmlformats.org/officeDocument/2006/relationships/hyperlink" Target="https://en.wikipedia.org/wiki/Michigan" TargetMode="External"/><Relationship Id="rId1142" Type="http://schemas.openxmlformats.org/officeDocument/2006/relationships/hyperlink" Target="https://en.wikipedia.org/wiki/Idaho" TargetMode="External"/><Relationship Id="rId2473" Type="http://schemas.openxmlformats.org/officeDocument/2006/relationships/hyperlink" Target="https://en.wikipedia.org/wiki/Alpena_County,_Michigan" TargetMode="External"/><Relationship Id="rId1143" Type="http://schemas.openxmlformats.org/officeDocument/2006/relationships/hyperlink" Target="https://en.wikipedia.org/wiki/Custer_County,_Idaho" TargetMode="External"/><Relationship Id="rId2474" Type="http://schemas.openxmlformats.org/officeDocument/2006/relationships/hyperlink" Target="https://en.wikipedia.org/wiki/Michigan" TargetMode="External"/><Relationship Id="rId1144" Type="http://schemas.openxmlformats.org/officeDocument/2006/relationships/hyperlink" Target="https://en.wikipedia.org/wiki/Idaho" TargetMode="External"/><Relationship Id="rId2475" Type="http://schemas.openxmlformats.org/officeDocument/2006/relationships/hyperlink" Target="https://en.wikipedia.org/wiki/Antrim_County,_Michigan" TargetMode="External"/><Relationship Id="rId1145" Type="http://schemas.openxmlformats.org/officeDocument/2006/relationships/hyperlink" Target="https://en.wikipedia.org/wiki/Elmore_County,_Idaho" TargetMode="External"/><Relationship Id="rId2476" Type="http://schemas.openxmlformats.org/officeDocument/2006/relationships/hyperlink" Target="https://en.wikipedia.org/wiki/Michigan" TargetMode="External"/><Relationship Id="rId1146" Type="http://schemas.openxmlformats.org/officeDocument/2006/relationships/hyperlink" Target="https://en.wikipedia.org/wiki/Idaho" TargetMode="External"/><Relationship Id="rId2477" Type="http://schemas.openxmlformats.org/officeDocument/2006/relationships/hyperlink" Target="https://en.wikipedia.org/wiki/Arenac_County,_Michigan" TargetMode="External"/><Relationship Id="rId6009" Type="http://schemas.openxmlformats.org/officeDocument/2006/relationships/hyperlink" Target="https://en.wikipedia.org/wiki/Fayette_County,_West_Virginia" TargetMode="External"/><Relationship Id="rId6000" Type="http://schemas.openxmlformats.org/officeDocument/2006/relationships/hyperlink" Target="https://en.wikipedia.org/wiki/West_Virginia" TargetMode="External"/><Relationship Id="rId6003" Type="http://schemas.openxmlformats.org/officeDocument/2006/relationships/hyperlink" Target="https://en.wikipedia.org/wiki/Calhoun_County,_West_Virginia" TargetMode="External"/><Relationship Id="rId6004" Type="http://schemas.openxmlformats.org/officeDocument/2006/relationships/hyperlink" Target="https://en.wikipedia.org/wiki/West_Virginia" TargetMode="External"/><Relationship Id="rId6001" Type="http://schemas.openxmlformats.org/officeDocument/2006/relationships/hyperlink" Target="https://en.wikipedia.org/wiki/Cabell_County,_West_Virginia" TargetMode="External"/><Relationship Id="rId6002" Type="http://schemas.openxmlformats.org/officeDocument/2006/relationships/hyperlink" Target="https://en.wikipedia.org/wiki/West_Virginia" TargetMode="External"/><Relationship Id="rId6007" Type="http://schemas.openxmlformats.org/officeDocument/2006/relationships/hyperlink" Target="https://en.wikipedia.org/wiki/Doddridge_County,_West_Virginia" TargetMode="External"/><Relationship Id="rId6008" Type="http://schemas.openxmlformats.org/officeDocument/2006/relationships/hyperlink" Target="https://en.wikipedia.org/wiki/West_Virginia" TargetMode="External"/><Relationship Id="rId6005" Type="http://schemas.openxmlformats.org/officeDocument/2006/relationships/hyperlink" Target="https://en.wikipedia.org/wiki/Clay_County,_West_Virginia" TargetMode="External"/><Relationship Id="rId6006" Type="http://schemas.openxmlformats.org/officeDocument/2006/relationships/hyperlink" Target="https://en.wikipedia.org/wiki/West_Virginia" TargetMode="External"/><Relationship Id="rId6061" Type="http://schemas.openxmlformats.org/officeDocument/2006/relationships/hyperlink" Target="https://en.wikipedia.org/wiki/Pendleton_County,_West_Virginia" TargetMode="External"/><Relationship Id="rId6062" Type="http://schemas.openxmlformats.org/officeDocument/2006/relationships/hyperlink" Target="https://en.wikipedia.org/wiki/West_Virginia" TargetMode="External"/><Relationship Id="rId6060" Type="http://schemas.openxmlformats.org/officeDocument/2006/relationships/hyperlink" Target="https://en.wikipedia.org/wiki/West_Virginia" TargetMode="External"/><Relationship Id="rId6065" Type="http://schemas.openxmlformats.org/officeDocument/2006/relationships/hyperlink" Target="https://en.wikipedia.org/wiki/Pocahontas_County,_West_Virginia" TargetMode="External"/><Relationship Id="rId6066" Type="http://schemas.openxmlformats.org/officeDocument/2006/relationships/hyperlink" Target="https://en.wikipedia.org/wiki/West_Virginia" TargetMode="External"/><Relationship Id="rId6063" Type="http://schemas.openxmlformats.org/officeDocument/2006/relationships/hyperlink" Target="https://en.wikipedia.org/wiki/Pleasants_County,_West_Virginia" TargetMode="External"/><Relationship Id="rId6064" Type="http://schemas.openxmlformats.org/officeDocument/2006/relationships/hyperlink" Target="https://en.wikipedia.org/wiki/West_Virginia" TargetMode="External"/><Relationship Id="rId6069" Type="http://schemas.openxmlformats.org/officeDocument/2006/relationships/hyperlink" Target="https://en.wikipedia.org/wiki/Putnam_County,_West_Virginia" TargetMode="External"/><Relationship Id="rId6067" Type="http://schemas.openxmlformats.org/officeDocument/2006/relationships/hyperlink" Target="https://en.wikipedia.org/wiki/Preston_County,_West_Virginia" TargetMode="External"/><Relationship Id="rId6068" Type="http://schemas.openxmlformats.org/officeDocument/2006/relationships/hyperlink" Target="https://en.wikipedia.org/wiki/West_Virginia" TargetMode="External"/><Relationship Id="rId6050" Type="http://schemas.openxmlformats.org/officeDocument/2006/relationships/hyperlink" Target="https://en.wikipedia.org/wiki/West_Virginia" TargetMode="External"/><Relationship Id="rId6051" Type="http://schemas.openxmlformats.org/officeDocument/2006/relationships/hyperlink" Target="https://en.wikipedia.org/wiki/Monongalia_County,_West_Virginia" TargetMode="External"/><Relationship Id="rId6054" Type="http://schemas.openxmlformats.org/officeDocument/2006/relationships/hyperlink" Target="https://en.wikipedia.org/wiki/West_Virginia" TargetMode="External"/><Relationship Id="rId6055" Type="http://schemas.openxmlformats.org/officeDocument/2006/relationships/hyperlink" Target="https://en.wikipedia.org/wiki/Morgan_County,_West_Virginia" TargetMode="External"/><Relationship Id="rId6052" Type="http://schemas.openxmlformats.org/officeDocument/2006/relationships/hyperlink" Target="https://en.wikipedia.org/wiki/West_Virginia" TargetMode="External"/><Relationship Id="rId6053" Type="http://schemas.openxmlformats.org/officeDocument/2006/relationships/hyperlink" Target="https://en.wikipedia.org/wiki/Monroe_County,_West_Virginia" TargetMode="External"/><Relationship Id="rId6058" Type="http://schemas.openxmlformats.org/officeDocument/2006/relationships/hyperlink" Target="https://en.wikipedia.org/wiki/West_Virginia" TargetMode="External"/><Relationship Id="rId6059" Type="http://schemas.openxmlformats.org/officeDocument/2006/relationships/hyperlink" Target="https://en.wikipedia.org/wiki/Ohio_County,_West_Virginia" TargetMode="External"/><Relationship Id="rId6056" Type="http://schemas.openxmlformats.org/officeDocument/2006/relationships/hyperlink" Target="https://en.wikipedia.org/wiki/West_Virginia" TargetMode="External"/><Relationship Id="rId6057" Type="http://schemas.openxmlformats.org/officeDocument/2006/relationships/hyperlink" Target="https://en.wikipedia.org/wiki/Nicholas_County,_West_Virginia" TargetMode="External"/><Relationship Id="rId3810" Type="http://schemas.openxmlformats.org/officeDocument/2006/relationships/hyperlink" Target="https://en.wikipedia.org/wiki/North_Carolina" TargetMode="External"/><Relationship Id="rId3812" Type="http://schemas.openxmlformats.org/officeDocument/2006/relationships/hyperlink" Target="https://en.wikipedia.org/wiki/North_Carolina" TargetMode="External"/><Relationship Id="rId3811" Type="http://schemas.openxmlformats.org/officeDocument/2006/relationships/hyperlink" Target="https://en.wikipedia.org/wiki/Caldwell_County,_North_Carolina" TargetMode="External"/><Relationship Id="rId3814" Type="http://schemas.openxmlformats.org/officeDocument/2006/relationships/hyperlink" Target="https://en.wikipedia.org/wiki/North_Carolina" TargetMode="External"/><Relationship Id="rId3813" Type="http://schemas.openxmlformats.org/officeDocument/2006/relationships/hyperlink" Target="https://en.wikipedia.org/wiki/Camden_County,_North_Carolina" TargetMode="External"/><Relationship Id="rId3816" Type="http://schemas.openxmlformats.org/officeDocument/2006/relationships/hyperlink" Target="https://en.wikipedia.org/wiki/North_Carolina" TargetMode="External"/><Relationship Id="rId3815" Type="http://schemas.openxmlformats.org/officeDocument/2006/relationships/hyperlink" Target="https://en.wikipedia.org/wiki/Carteret_County,_North_Carolina" TargetMode="External"/><Relationship Id="rId3818" Type="http://schemas.openxmlformats.org/officeDocument/2006/relationships/hyperlink" Target="https://en.wikipedia.org/wiki/North_Carolina" TargetMode="External"/><Relationship Id="rId3817" Type="http://schemas.openxmlformats.org/officeDocument/2006/relationships/hyperlink" Target="https://en.wikipedia.org/wiki/Caswell_County,_North_Carolina" TargetMode="External"/><Relationship Id="rId3819" Type="http://schemas.openxmlformats.org/officeDocument/2006/relationships/hyperlink" Target="https://en.wikipedia.org/wiki/Catawba_County,_North_Carolina" TargetMode="External"/><Relationship Id="rId6090" Type="http://schemas.openxmlformats.org/officeDocument/2006/relationships/hyperlink" Target="https://en.wikipedia.org/wiki/West_Virginia" TargetMode="External"/><Relationship Id="rId6091" Type="http://schemas.openxmlformats.org/officeDocument/2006/relationships/hyperlink" Target="https://en.wikipedia.org/wiki/Webster_County,_West_Virginia" TargetMode="External"/><Relationship Id="rId6083" Type="http://schemas.openxmlformats.org/officeDocument/2006/relationships/hyperlink" Target="https://en.wikipedia.org/wiki/Tucker_County,_West_Virginia" TargetMode="External"/><Relationship Id="rId6084" Type="http://schemas.openxmlformats.org/officeDocument/2006/relationships/hyperlink" Target="https://en.wikipedia.org/wiki/West_Virginia" TargetMode="External"/><Relationship Id="rId6081" Type="http://schemas.openxmlformats.org/officeDocument/2006/relationships/hyperlink" Target="https://en.wikipedia.org/wiki/Taylor_County,_West_Virginia" TargetMode="External"/><Relationship Id="rId6082" Type="http://schemas.openxmlformats.org/officeDocument/2006/relationships/hyperlink" Target="https://en.wikipedia.org/wiki/West_Virginia" TargetMode="External"/><Relationship Id="rId6087" Type="http://schemas.openxmlformats.org/officeDocument/2006/relationships/hyperlink" Target="https://en.wikipedia.org/wiki/Upshur_County,_West_Virginia" TargetMode="External"/><Relationship Id="rId6088" Type="http://schemas.openxmlformats.org/officeDocument/2006/relationships/hyperlink" Target="https://en.wikipedia.org/wiki/West_Virginia" TargetMode="External"/><Relationship Id="rId6085" Type="http://schemas.openxmlformats.org/officeDocument/2006/relationships/hyperlink" Target="https://en.wikipedia.org/wiki/Tyler_County,_West_Virginia" TargetMode="External"/><Relationship Id="rId6086" Type="http://schemas.openxmlformats.org/officeDocument/2006/relationships/hyperlink" Target="https://en.wikipedia.org/wiki/West_Virginia" TargetMode="External"/><Relationship Id="rId6089" Type="http://schemas.openxmlformats.org/officeDocument/2006/relationships/hyperlink" Target="https://en.wikipedia.org/wiki/Wayne_County,_West_Virginia" TargetMode="External"/><Relationship Id="rId3801" Type="http://schemas.openxmlformats.org/officeDocument/2006/relationships/hyperlink" Target="https://en.wikipedia.org/wiki/Bladen_County,_North_Carolina" TargetMode="External"/><Relationship Id="rId3800" Type="http://schemas.openxmlformats.org/officeDocument/2006/relationships/hyperlink" Target="https://en.wikipedia.org/wiki/North_Carolina" TargetMode="External"/><Relationship Id="rId3803" Type="http://schemas.openxmlformats.org/officeDocument/2006/relationships/hyperlink" Target="https://en.wikipedia.org/wiki/Brunswick_County,_North_Carolina" TargetMode="External"/><Relationship Id="rId3802" Type="http://schemas.openxmlformats.org/officeDocument/2006/relationships/hyperlink" Target="https://en.wikipedia.org/wiki/North_Carolina" TargetMode="External"/><Relationship Id="rId3805" Type="http://schemas.openxmlformats.org/officeDocument/2006/relationships/hyperlink" Target="https://en.wikipedia.org/wiki/Buncombe_County,_North_Carolina" TargetMode="External"/><Relationship Id="rId3804" Type="http://schemas.openxmlformats.org/officeDocument/2006/relationships/hyperlink" Target="https://en.wikipedia.org/wiki/North_Carolina" TargetMode="External"/><Relationship Id="rId3807" Type="http://schemas.openxmlformats.org/officeDocument/2006/relationships/hyperlink" Target="https://en.wikipedia.org/wiki/Burke_County,_North_Carolina" TargetMode="External"/><Relationship Id="rId3806" Type="http://schemas.openxmlformats.org/officeDocument/2006/relationships/hyperlink" Target="https://en.wikipedia.org/wiki/North_Carolina" TargetMode="External"/><Relationship Id="rId3809" Type="http://schemas.openxmlformats.org/officeDocument/2006/relationships/hyperlink" Target="https://en.wikipedia.org/wiki/Cabarrus_County,_North_Carolina" TargetMode="External"/><Relationship Id="rId3808" Type="http://schemas.openxmlformats.org/officeDocument/2006/relationships/hyperlink" Target="https://en.wikipedia.org/wiki/North_Carolina" TargetMode="External"/><Relationship Id="rId6080" Type="http://schemas.openxmlformats.org/officeDocument/2006/relationships/hyperlink" Target="https://en.wikipedia.org/wiki/West_Virginia" TargetMode="External"/><Relationship Id="rId6072" Type="http://schemas.openxmlformats.org/officeDocument/2006/relationships/hyperlink" Target="https://en.wikipedia.org/wiki/West_Virginia" TargetMode="External"/><Relationship Id="rId6073" Type="http://schemas.openxmlformats.org/officeDocument/2006/relationships/hyperlink" Target="https://en.wikipedia.org/wiki/Randolph_County,_West_Virginia" TargetMode="External"/><Relationship Id="rId6070" Type="http://schemas.openxmlformats.org/officeDocument/2006/relationships/hyperlink" Target="https://en.wikipedia.org/wiki/West_Virginia" TargetMode="External"/><Relationship Id="rId6071" Type="http://schemas.openxmlformats.org/officeDocument/2006/relationships/hyperlink" Target="https://en.wikipedia.org/wiki/Raleigh_County,_West_Virginia" TargetMode="External"/><Relationship Id="rId6076" Type="http://schemas.openxmlformats.org/officeDocument/2006/relationships/hyperlink" Target="https://en.wikipedia.org/wiki/West_Virginia" TargetMode="External"/><Relationship Id="rId6077" Type="http://schemas.openxmlformats.org/officeDocument/2006/relationships/hyperlink" Target="https://en.wikipedia.org/wiki/Roane_County,_West_Virginia" TargetMode="External"/><Relationship Id="rId6074" Type="http://schemas.openxmlformats.org/officeDocument/2006/relationships/hyperlink" Target="https://en.wikipedia.org/wiki/West_Virginia" TargetMode="External"/><Relationship Id="rId6075" Type="http://schemas.openxmlformats.org/officeDocument/2006/relationships/hyperlink" Target="https://en.wikipedia.org/wiki/Ritchie_County,_West_Virginia" TargetMode="External"/><Relationship Id="rId6078" Type="http://schemas.openxmlformats.org/officeDocument/2006/relationships/hyperlink" Target="https://en.wikipedia.org/wiki/West_Virginia" TargetMode="External"/><Relationship Id="rId6079" Type="http://schemas.openxmlformats.org/officeDocument/2006/relationships/hyperlink" Target="https://en.wikipedia.org/wiki/Summers_County,_West_Virginia" TargetMode="External"/><Relationship Id="rId6021" Type="http://schemas.openxmlformats.org/officeDocument/2006/relationships/hyperlink" Target="https://en.wikipedia.org/wiki/Hardy_County,_West_Virginia" TargetMode="External"/><Relationship Id="rId6022" Type="http://schemas.openxmlformats.org/officeDocument/2006/relationships/hyperlink" Target="https://en.wikipedia.org/wiki/West_Virginia" TargetMode="External"/><Relationship Id="rId6020" Type="http://schemas.openxmlformats.org/officeDocument/2006/relationships/hyperlink" Target="https://en.wikipedia.org/wiki/West_Virginia" TargetMode="External"/><Relationship Id="rId6025" Type="http://schemas.openxmlformats.org/officeDocument/2006/relationships/hyperlink" Target="https://en.wikipedia.org/wiki/Jackson_County,_West_Virginia" TargetMode="External"/><Relationship Id="rId6026" Type="http://schemas.openxmlformats.org/officeDocument/2006/relationships/hyperlink" Target="https://en.wikipedia.org/wiki/West_Virginia" TargetMode="External"/><Relationship Id="rId6023" Type="http://schemas.openxmlformats.org/officeDocument/2006/relationships/hyperlink" Target="https://en.wikipedia.org/wiki/Harrison_County,_West_Virginia" TargetMode="External"/><Relationship Id="rId6024" Type="http://schemas.openxmlformats.org/officeDocument/2006/relationships/hyperlink" Target="https://en.wikipedia.org/wiki/West_Virginia" TargetMode="External"/><Relationship Id="rId6029" Type="http://schemas.openxmlformats.org/officeDocument/2006/relationships/hyperlink" Target="https://en.wikipedia.org/wiki/Kanawha_County,_West_Virginia" TargetMode="External"/><Relationship Id="rId6027" Type="http://schemas.openxmlformats.org/officeDocument/2006/relationships/hyperlink" Target="https://en.wikipedia.org/wiki/Jefferson_County,_West_Virginia" TargetMode="External"/><Relationship Id="rId6028" Type="http://schemas.openxmlformats.org/officeDocument/2006/relationships/hyperlink" Target="https://en.wikipedia.org/wiki/West_Virginia" TargetMode="External"/><Relationship Id="rId6010" Type="http://schemas.openxmlformats.org/officeDocument/2006/relationships/hyperlink" Target="https://en.wikipedia.org/wiki/West_Virginia" TargetMode="External"/><Relationship Id="rId6011" Type="http://schemas.openxmlformats.org/officeDocument/2006/relationships/hyperlink" Target="https://en.wikipedia.org/wiki/Gilmer_County,_West_Virginia" TargetMode="External"/><Relationship Id="rId6014" Type="http://schemas.openxmlformats.org/officeDocument/2006/relationships/hyperlink" Target="https://en.wikipedia.org/wiki/West_Virginia" TargetMode="External"/><Relationship Id="rId6015" Type="http://schemas.openxmlformats.org/officeDocument/2006/relationships/hyperlink" Target="https://en.wikipedia.org/wiki/Greenbrier_County,_West_Virginia" TargetMode="External"/><Relationship Id="rId6012" Type="http://schemas.openxmlformats.org/officeDocument/2006/relationships/hyperlink" Target="https://en.wikipedia.org/wiki/West_Virginia" TargetMode="External"/><Relationship Id="rId6013" Type="http://schemas.openxmlformats.org/officeDocument/2006/relationships/hyperlink" Target="https://en.wikipedia.org/wiki/Grant_County,_West_Virginia" TargetMode="External"/><Relationship Id="rId6018" Type="http://schemas.openxmlformats.org/officeDocument/2006/relationships/hyperlink" Target="https://en.wikipedia.org/wiki/West_Virginia" TargetMode="External"/><Relationship Id="rId6019" Type="http://schemas.openxmlformats.org/officeDocument/2006/relationships/hyperlink" Target="https://en.wikipedia.org/wiki/Hancock_County,_West_Virginia" TargetMode="External"/><Relationship Id="rId6016" Type="http://schemas.openxmlformats.org/officeDocument/2006/relationships/hyperlink" Target="https://en.wikipedia.org/wiki/West_Virginia" TargetMode="External"/><Relationship Id="rId6017" Type="http://schemas.openxmlformats.org/officeDocument/2006/relationships/hyperlink" Target="https://en.wikipedia.org/wiki/Hampshire_County,_West_Virginia" TargetMode="External"/><Relationship Id="rId6040" Type="http://schemas.openxmlformats.org/officeDocument/2006/relationships/hyperlink" Target="https://en.wikipedia.org/wiki/West_Virginia" TargetMode="External"/><Relationship Id="rId6043" Type="http://schemas.openxmlformats.org/officeDocument/2006/relationships/hyperlink" Target="https://en.wikipedia.org/wiki/Mason_County,_West_Virginia" TargetMode="External"/><Relationship Id="rId6044" Type="http://schemas.openxmlformats.org/officeDocument/2006/relationships/hyperlink" Target="https://en.wikipedia.org/wiki/West_Virginia" TargetMode="External"/><Relationship Id="rId6041" Type="http://schemas.openxmlformats.org/officeDocument/2006/relationships/hyperlink" Target="https://en.wikipedia.org/wiki/Marshall_County,_West_Virginia" TargetMode="External"/><Relationship Id="rId6042" Type="http://schemas.openxmlformats.org/officeDocument/2006/relationships/hyperlink" Target="https://en.wikipedia.org/wiki/West_Virginia" TargetMode="External"/><Relationship Id="rId6047" Type="http://schemas.openxmlformats.org/officeDocument/2006/relationships/hyperlink" Target="https://en.wikipedia.org/wiki/Mineral_County,_West_Virginia" TargetMode="External"/><Relationship Id="rId6048" Type="http://schemas.openxmlformats.org/officeDocument/2006/relationships/hyperlink" Target="https://en.wikipedia.org/wiki/West_Virginia" TargetMode="External"/><Relationship Id="rId6045" Type="http://schemas.openxmlformats.org/officeDocument/2006/relationships/hyperlink" Target="https://en.wikipedia.org/wiki/Mercer_County,_West_Virginia" TargetMode="External"/><Relationship Id="rId6046" Type="http://schemas.openxmlformats.org/officeDocument/2006/relationships/hyperlink" Target="https://en.wikipedia.org/wiki/West_Virginia" TargetMode="External"/><Relationship Id="rId6049" Type="http://schemas.openxmlformats.org/officeDocument/2006/relationships/hyperlink" Target="https://en.wikipedia.org/wiki/Mingo_County,_West_Virginia" TargetMode="External"/><Relationship Id="rId6032" Type="http://schemas.openxmlformats.org/officeDocument/2006/relationships/hyperlink" Target="https://en.wikipedia.org/wiki/West_Virginia" TargetMode="External"/><Relationship Id="rId6033" Type="http://schemas.openxmlformats.org/officeDocument/2006/relationships/hyperlink" Target="https://en.wikipedia.org/wiki/Lincoln_County,_West_Virginia" TargetMode="External"/><Relationship Id="rId6030" Type="http://schemas.openxmlformats.org/officeDocument/2006/relationships/hyperlink" Target="https://en.wikipedia.org/wiki/West_Virginia" TargetMode="External"/><Relationship Id="rId6031" Type="http://schemas.openxmlformats.org/officeDocument/2006/relationships/hyperlink" Target="https://en.wikipedia.org/wiki/Lewis_County,_West_Virginia" TargetMode="External"/><Relationship Id="rId6036" Type="http://schemas.openxmlformats.org/officeDocument/2006/relationships/hyperlink" Target="https://en.wikipedia.org/wiki/West_Virginia" TargetMode="External"/><Relationship Id="rId6037" Type="http://schemas.openxmlformats.org/officeDocument/2006/relationships/hyperlink" Target="https://en.wikipedia.org/wiki/McDowell_County,_West_Virginia" TargetMode="External"/><Relationship Id="rId6034" Type="http://schemas.openxmlformats.org/officeDocument/2006/relationships/hyperlink" Target="https://en.wikipedia.org/wiki/West_Virginia" TargetMode="External"/><Relationship Id="rId6035" Type="http://schemas.openxmlformats.org/officeDocument/2006/relationships/hyperlink" Target="https://en.wikipedia.org/wiki/Logan_County,_West_Virginia" TargetMode="External"/><Relationship Id="rId6038" Type="http://schemas.openxmlformats.org/officeDocument/2006/relationships/hyperlink" Target="https://en.wikipedia.org/wiki/West_Virginia" TargetMode="External"/><Relationship Id="rId6039" Type="http://schemas.openxmlformats.org/officeDocument/2006/relationships/hyperlink" Target="https://en.wikipedia.org/wiki/Marion_County,_West_Virginia" TargetMode="External"/><Relationship Id="rId1213" Type="http://schemas.openxmlformats.org/officeDocument/2006/relationships/hyperlink" Target="https://en.wikipedia.org/wiki/Champaign_County,_Illinois" TargetMode="External"/><Relationship Id="rId2544" Type="http://schemas.openxmlformats.org/officeDocument/2006/relationships/hyperlink" Target="https://en.wikipedia.org/wiki/Michigan" TargetMode="External"/><Relationship Id="rId3876" Type="http://schemas.openxmlformats.org/officeDocument/2006/relationships/hyperlink" Target="https://en.wikipedia.org/wiki/North_Carolina" TargetMode="External"/><Relationship Id="rId1214" Type="http://schemas.openxmlformats.org/officeDocument/2006/relationships/hyperlink" Target="https://en.wikipedia.org/wiki/Illinois" TargetMode="External"/><Relationship Id="rId2545" Type="http://schemas.openxmlformats.org/officeDocument/2006/relationships/hyperlink" Target="https://en.wikipedia.org/wiki/Kalkaska_County,_Michigan" TargetMode="External"/><Relationship Id="rId3875" Type="http://schemas.openxmlformats.org/officeDocument/2006/relationships/hyperlink" Target="https://en.wikipedia.org/wiki/Hertford_County,_North_Carolina" TargetMode="External"/><Relationship Id="rId1215" Type="http://schemas.openxmlformats.org/officeDocument/2006/relationships/hyperlink" Target="https://en.wikipedia.org/wiki/Christian_County,_Illinois" TargetMode="External"/><Relationship Id="rId2546" Type="http://schemas.openxmlformats.org/officeDocument/2006/relationships/hyperlink" Target="https://en.wikipedia.org/wiki/Michigan" TargetMode="External"/><Relationship Id="rId3878" Type="http://schemas.openxmlformats.org/officeDocument/2006/relationships/hyperlink" Target="https://en.wikipedia.org/wiki/North_Carolina" TargetMode="External"/><Relationship Id="rId1216" Type="http://schemas.openxmlformats.org/officeDocument/2006/relationships/hyperlink" Target="https://en.wikipedia.org/wiki/Illinois" TargetMode="External"/><Relationship Id="rId2547" Type="http://schemas.openxmlformats.org/officeDocument/2006/relationships/hyperlink" Target="https://en.wikipedia.org/wiki/Kent_County,_Michigan" TargetMode="External"/><Relationship Id="rId3877" Type="http://schemas.openxmlformats.org/officeDocument/2006/relationships/hyperlink" Target="https://en.wikipedia.org/wiki/Hoke_County,_North_Carolina" TargetMode="External"/><Relationship Id="rId1217" Type="http://schemas.openxmlformats.org/officeDocument/2006/relationships/hyperlink" Target="https://en.wikipedia.org/wiki/Clark_County,_Illinois" TargetMode="External"/><Relationship Id="rId2548" Type="http://schemas.openxmlformats.org/officeDocument/2006/relationships/hyperlink" Target="https://en.wikipedia.org/wiki/Michigan" TargetMode="External"/><Relationship Id="rId1218" Type="http://schemas.openxmlformats.org/officeDocument/2006/relationships/hyperlink" Target="https://en.wikipedia.org/wiki/Illinois" TargetMode="External"/><Relationship Id="rId2549" Type="http://schemas.openxmlformats.org/officeDocument/2006/relationships/hyperlink" Target="https://en.wikipedia.org/wiki/Keweenaw_County,_Michigan" TargetMode="External"/><Relationship Id="rId3879" Type="http://schemas.openxmlformats.org/officeDocument/2006/relationships/hyperlink" Target="https://en.wikipedia.org/wiki/Hyde_County,_North_Carolina" TargetMode="External"/><Relationship Id="rId1219" Type="http://schemas.openxmlformats.org/officeDocument/2006/relationships/hyperlink" Target="https://en.wikipedia.org/wiki/Clay_County,_Illinois" TargetMode="External"/><Relationship Id="rId3870" Type="http://schemas.openxmlformats.org/officeDocument/2006/relationships/hyperlink" Target="https://en.wikipedia.org/wiki/North_Carolina" TargetMode="External"/><Relationship Id="rId2540" Type="http://schemas.openxmlformats.org/officeDocument/2006/relationships/hyperlink" Target="https://en.wikipedia.org/wiki/Michigan" TargetMode="External"/><Relationship Id="rId3872" Type="http://schemas.openxmlformats.org/officeDocument/2006/relationships/hyperlink" Target="https://en.wikipedia.org/wiki/North_Carolina" TargetMode="External"/><Relationship Id="rId1210" Type="http://schemas.openxmlformats.org/officeDocument/2006/relationships/hyperlink" Target="https://en.wikipedia.org/wiki/Illinois" TargetMode="External"/><Relationship Id="rId2541" Type="http://schemas.openxmlformats.org/officeDocument/2006/relationships/hyperlink" Target="https://en.wikipedia.org/wiki/Jackson_County,_Michigan" TargetMode="External"/><Relationship Id="rId3871" Type="http://schemas.openxmlformats.org/officeDocument/2006/relationships/hyperlink" Target="https://en.wikipedia.org/wiki/Haywood_County,_North_Carolina" TargetMode="External"/><Relationship Id="rId1211" Type="http://schemas.openxmlformats.org/officeDocument/2006/relationships/hyperlink" Target="https://en.wikipedia.org/wiki/Cass_County,_Illinois" TargetMode="External"/><Relationship Id="rId2542" Type="http://schemas.openxmlformats.org/officeDocument/2006/relationships/hyperlink" Target="https://en.wikipedia.org/wiki/Michigan" TargetMode="External"/><Relationship Id="rId3874" Type="http://schemas.openxmlformats.org/officeDocument/2006/relationships/hyperlink" Target="https://en.wikipedia.org/wiki/North_Carolina" TargetMode="External"/><Relationship Id="rId1212" Type="http://schemas.openxmlformats.org/officeDocument/2006/relationships/hyperlink" Target="https://en.wikipedia.org/wiki/Illinois" TargetMode="External"/><Relationship Id="rId2543" Type="http://schemas.openxmlformats.org/officeDocument/2006/relationships/hyperlink" Target="https://en.wikipedia.org/wiki/Kalamazoo_County,_Michigan" TargetMode="External"/><Relationship Id="rId3873" Type="http://schemas.openxmlformats.org/officeDocument/2006/relationships/hyperlink" Target="https://en.wikipedia.org/wiki/Henderson_County,_North_Carolina" TargetMode="External"/><Relationship Id="rId1202" Type="http://schemas.openxmlformats.org/officeDocument/2006/relationships/hyperlink" Target="https://en.wikipedia.org/wiki/Illinois" TargetMode="External"/><Relationship Id="rId2533" Type="http://schemas.openxmlformats.org/officeDocument/2006/relationships/hyperlink" Target="https://en.wikipedia.org/wiki/Ionia_County,_Michigan" TargetMode="External"/><Relationship Id="rId3865" Type="http://schemas.openxmlformats.org/officeDocument/2006/relationships/hyperlink" Target="https://en.wikipedia.org/wiki/Guilford_County,_North_Carolina" TargetMode="External"/><Relationship Id="rId1203" Type="http://schemas.openxmlformats.org/officeDocument/2006/relationships/hyperlink" Target="https://en.wikipedia.org/wiki/Brown_County,_Illinois" TargetMode="External"/><Relationship Id="rId2534" Type="http://schemas.openxmlformats.org/officeDocument/2006/relationships/hyperlink" Target="https://en.wikipedia.org/wiki/Michigan" TargetMode="External"/><Relationship Id="rId3864" Type="http://schemas.openxmlformats.org/officeDocument/2006/relationships/hyperlink" Target="https://en.wikipedia.org/wiki/North_Carolina" TargetMode="External"/><Relationship Id="rId1204" Type="http://schemas.openxmlformats.org/officeDocument/2006/relationships/hyperlink" Target="https://en.wikipedia.org/wiki/Illinois" TargetMode="External"/><Relationship Id="rId2535" Type="http://schemas.openxmlformats.org/officeDocument/2006/relationships/hyperlink" Target="https://en.wikipedia.org/wiki/Iosco_County,_Michigan" TargetMode="External"/><Relationship Id="rId3867" Type="http://schemas.openxmlformats.org/officeDocument/2006/relationships/hyperlink" Target="https://en.wikipedia.org/wiki/Halifax_County,_North_Carolina" TargetMode="External"/><Relationship Id="rId1205" Type="http://schemas.openxmlformats.org/officeDocument/2006/relationships/hyperlink" Target="https://en.wikipedia.org/wiki/Bureau_County,_Illinois" TargetMode="External"/><Relationship Id="rId2536" Type="http://schemas.openxmlformats.org/officeDocument/2006/relationships/hyperlink" Target="https://en.wikipedia.org/wiki/Michigan" TargetMode="External"/><Relationship Id="rId3866" Type="http://schemas.openxmlformats.org/officeDocument/2006/relationships/hyperlink" Target="https://en.wikipedia.org/wiki/North_Carolina" TargetMode="External"/><Relationship Id="rId1206" Type="http://schemas.openxmlformats.org/officeDocument/2006/relationships/hyperlink" Target="https://en.wikipedia.org/wiki/Illinois" TargetMode="External"/><Relationship Id="rId2537" Type="http://schemas.openxmlformats.org/officeDocument/2006/relationships/hyperlink" Target="https://en.wikipedia.org/wiki/Iron_County,_Michigan" TargetMode="External"/><Relationship Id="rId3869" Type="http://schemas.openxmlformats.org/officeDocument/2006/relationships/hyperlink" Target="https://en.wikipedia.org/wiki/Harnett_County,_North_Carolina" TargetMode="External"/><Relationship Id="rId1207" Type="http://schemas.openxmlformats.org/officeDocument/2006/relationships/hyperlink" Target="https://en.wikipedia.org/wiki/Calhoun_County,_Illinois" TargetMode="External"/><Relationship Id="rId2538" Type="http://schemas.openxmlformats.org/officeDocument/2006/relationships/hyperlink" Target="https://en.wikipedia.org/wiki/Michigan" TargetMode="External"/><Relationship Id="rId3868" Type="http://schemas.openxmlformats.org/officeDocument/2006/relationships/hyperlink" Target="https://en.wikipedia.org/wiki/North_Carolina" TargetMode="External"/><Relationship Id="rId1208" Type="http://schemas.openxmlformats.org/officeDocument/2006/relationships/hyperlink" Target="https://en.wikipedia.org/wiki/Illinois" TargetMode="External"/><Relationship Id="rId2539" Type="http://schemas.openxmlformats.org/officeDocument/2006/relationships/hyperlink" Target="https://en.wikipedia.org/wiki/Isabella_County,_Michigan" TargetMode="External"/><Relationship Id="rId1209" Type="http://schemas.openxmlformats.org/officeDocument/2006/relationships/hyperlink" Target="https://en.wikipedia.org/wiki/Carroll_County,_Illinois" TargetMode="External"/><Relationship Id="rId3861" Type="http://schemas.openxmlformats.org/officeDocument/2006/relationships/hyperlink" Target="https://en.wikipedia.org/wiki/Granville_County,_North_Carolina" TargetMode="External"/><Relationship Id="rId2530" Type="http://schemas.openxmlformats.org/officeDocument/2006/relationships/hyperlink" Target="https://en.wikipedia.org/wiki/Michigan" TargetMode="External"/><Relationship Id="rId3860" Type="http://schemas.openxmlformats.org/officeDocument/2006/relationships/hyperlink" Target="https://en.wikipedia.org/wiki/North_Carolina" TargetMode="External"/><Relationship Id="rId1200" Type="http://schemas.openxmlformats.org/officeDocument/2006/relationships/hyperlink" Target="https://en.wikipedia.org/wiki/Illinois" TargetMode="External"/><Relationship Id="rId2531" Type="http://schemas.openxmlformats.org/officeDocument/2006/relationships/hyperlink" Target="https://en.wikipedia.org/wiki/Ingham_County,_Michigan" TargetMode="External"/><Relationship Id="rId3863" Type="http://schemas.openxmlformats.org/officeDocument/2006/relationships/hyperlink" Target="https://en.wikipedia.org/wiki/Greene_County,_North_Carolina" TargetMode="External"/><Relationship Id="rId1201" Type="http://schemas.openxmlformats.org/officeDocument/2006/relationships/hyperlink" Target="https://en.wikipedia.org/wiki/Boone_County,_Illinois" TargetMode="External"/><Relationship Id="rId2532" Type="http://schemas.openxmlformats.org/officeDocument/2006/relationships/hyperlink" Target="https://en.wikipedia.org/wiki/Michigan" TargetMode="External"/><Relationship Id="rId3862" Type="http://schemas.openxmlformats.org/officeDocument/2006/relationships/hyperlink" Target="https://en.wikipedia.org/wiki/North_Carolina" TargetMode="External"/><Relationship Id="rId1235" Type="http://schemas.openxmlformats.org/officeDocument/2006/relationships/hyperlink" Target="https://en.wikipedia.org/wiki/Douglas_County,_Illinois" TargetMode="External"/><Relationship Id="rId2566" Type="http://schemas.openxmlformats.org/officeDocument/2006/relationships/hyperlink" Target="https://en.wikipedia.org/wiki/Michigan" TargetMode="External"/><Relationship Id="rId3898" Type="http://schemas.openxmlformats.org/officeDocument/2006/relationships/hyperlink" Target="https://en.wikipedia.org/wiki/North_Carolina" TargetMode="External"/><Relationship Id="rId1236" Type="http://schemas.openxmlformats.org/officeDocument/2006/relationships/hyperlink" Target="https://en.wikipedia.org/wiki/Illinois" TargetMode="External"/><Relationship Id="rId2567" Type="http://schemas.openxmlformats.org/officeDocument/2006/relationships/hyperlink" Target="https://en.wikipedia.org/wiki/Manistee_County,_Michigan" TargetMode="External"/><Relationship Id="rId3897" Type="http://schemas.openxmlformats.org/officeDocument/2006/relationships/hyperlink" Target="https://en.wikipedia.org/wiki/Macon_County,_North_Carolina" TargetMode="External"/><Relationship Id="rId1237" Type="http://schemas.openxmlformats.org/officeDocument/2006/relationships/hyperlink" Target="https://en.wikipedia.org/wiki/DuPage_County,_Illinois" TargetMode="External"/><Relationship Id="rId2568" Type="http://schemas.openxmlformats.org/officeDocument/2006/relationships/hyperlink" Target="https://en.wikipedia.org/wiki/Michigan" TargetMode="External"/><Relationship Id="rId1238" Type="http://schemas.openxmlformats.org/officeDocument/2006/relationships/hyperlink" Target="https://en.wikipedia.org/wiki/Illinois" TargetMode="External"/><Relationship Id="rId2569" Type="http://schemas.openxmlformats.org/officeDocument/2006/relationships/hyperlink" Target="https://en.wikipedia.org/wiki/Marquette_County,_Michigan" TargetMode="External"/><Relationship Id="rId3899" Type="http://schemas.openxmlformats.org/officeDocument/2006/relationships/hyperlink" Target="https://en.wikipedia.org/wiki/Madison_County,_North_Carolina" TargetMode="External"/><Relationship Id="rId1239" Type="http://schemas.openxmlformats.org/officeDocument/2006/relationships/hyperlink" Target="https://en.wikipedia.org/wiki/Edgar_County,_Illinois" TargetMode="External"/><Relationship Id="rId3890" Type="http://schemas.openxmlformats.org/officeDocument/2006/relationships/hyperlink" Target="https://en.wikipedia.org/wiki/North_Carolina" TargetMode="External"/><Relationship Id="rId2560" Type="http://schemas.openxmlformats.org/officeDocument/2006/relationships/hyperlink" Target="https://en.wikipedia.org/wiki/Michigan" TargetMode="External"/><Relationship Id="rId3892" Type="http://schemas.openxmlformats.org/officeDocument/2006/relationships/hyperlink" Target="https://en.wikipedia.org/wiki/North_Carolina" TargetMode="External"/><Relationship Id="rId1230" Type="http://schemas.openxmlformats.org/officeDocument/2006/relationships/hyperlink" Target="https://en.wikipedia.org/wiki/Illinois" TargetMode="External"/><Relationship Id="rId2561" Type="http://schemas.openxmlformats.org/officeDocument/2006/relationships/hyperlink" Target="https://en.wikipedia.org/wiki/Luce_County,_Michigan" TargetMode="External"/><Relationship Id="rId3891" Type="http://schemas.openxmlformats.org/officeDocument/2006/relationships/hyperlink" Target="https://en.wikipedia.org/wiki/Lenoir_County,_North_Carolina" TargetMode="External"/><Relationship Id="rId1231" Type="http://schemas.openxmlformats.org/officeDocument/2006/relationships/hyperlink" Target="https://en.wikipedia.org/wiki/DeKalb_County,_Illinois" TargetMode="External"/><Relationship Id="rId2562" Type="http://schemas.openxmlformats.org/officeDocument/2006/relationships/hyperlink" Target="https://en.wikipedia.org/wiki/Michigan" TargetMode="External"/><Relationship Id="rId3894" Type="http://schemas.openxmlformats.org/officeDocument/2006/relationships/hyperlink" Target="https://en.wikipedia.org/wiki/North_Carolina" TargetMode="External"/><Relationship Id="rId1232" Type="http://schemas.openxmlformats.org/officeDocument/2006/relationships/hyperlink" Target="https://en.wikipedia.org/wiki/Illinois" TargetMode="External"/><Relationship Id="rId2563" Type="http://schemas.openxmlformats.org/officeDocument/2006/relationships/hyperlink" Target="https://en.wikipedia.org/wiki/Mackinac_County,_Michigan" TargetMode="External"/><Relationship Id="rId3893" Type="http://schemas.openxmlformats.org/officeDocument/2006/relationships/hyperlink" Target="https://en.wikipedia.org/wiki/Lincoln_County,_North_Carolina" TargetMode="External"/><Relationship Id="rId1233" Type="http://schemas.openxmlformats.org/officeDocument/2006/relationships/hyperlink" Target="https://en.wikipedia.org/wiki/De_Witt_County,_Illinois" TargetMode="External"/><Relationship Id="rId2564" Type="http://schemas.openxmlformats.org/officeDocument/2006/relationships/hyperlink" Target="https://en.wikipedia.org/wiki/Michigan" TargetMode="External"/><Relationship Id="rId3896" Type="http://schemas.openxmlformats.org/officeDocument/2006/relationships/hyperlink" Target="https://en.wikipedia.org/wiki/North_Carolina" TargetMode="External"/><Relationship Id="rId1234" Type="http://schemas.openxmlformats.org/officeDocument/2006/relationships/hyperlink" Target="https://en.wikipedia.org/wiki/Illinois" TargetMode="External"/><Relationship Id="rId2565" Type="http://schemas.openxmlformats.org/officeDocument/2006/relationships/hyperlink" Target="https://en.wikipedia.org/wiki/Macomb_County,_Michigan" TargetMode="External"/><Relationship Id="rId3895" Type="http://schemas.openxmlformats.org/officeDocument/2006/relationships/hyperlink" Target="https://en.wikipedia.org/wiki/McDowell_County,_North_Carolina" TargetMode="External"/><Relationship Id="rId1224" Type="http://schemas.openxmlformats.org/officeDocument/2006/relationships/hyperlink" Target="https://en.wikipedia.org/wiki/Illinois" TargetMode="External"/><Relationship Id="rId2555" Type="http://schemas.openxmlformats.org/officeDocument/2006/relationships/hyperlink" Target="https://en.wikipedia.org/wiki/Leelanau_County,_Michigan" TargetMode="External"/><Relationship Id="rId3887" Type="http://schemas.openxmlformats.org/officeDocument/2006/relationships/hyperlink" Target="https://en.wikipedia.org/wiki/Jones_County,_North_Carolina" TargetMode="External"/><Relationship Id="rId1225" Type="http://schemas.openxmlformats.org/officeDocument/2006/relationships/hyperlink" Target="https://en.wikipedia.org/wiki/Cook_County,_Illinois" TargetMode="External"/><Relationship Id="rId2556" Type="http://schemas.openxmlformats.org/officeDocument/2006/relationships/hyperlink" Target="https://en.wikipedia.org/wiki/Michigan" TargetMode="External"/><Relationship Id="rId3886" Type="http://schemas.openxmlformats.org/officeDocument/2006/relationships/hyperlink" Target="https://en.wikipedia.org/wiki/North_Carolina" TargetMode="External"/><Relationship Id="rId1226" Type="http://schemas.openxmlformats.org/officeDocument/2006/relationships/hyperlink" Target="https://en.wikipedia.org/wiki/Illinois" TargetMode="External"/><Relationship Id="rId2557" Type="http://schemas.openxmlformats.org/officeDocument/2006/relationships/hyperlink" Target="https://en.wikipedia.org/wiki/Lenawee_County,_Michigan" TargetMode="External"/><Relationship Id="rId3889" Type="http://schemas.openxmlformats.org/officeDocument/2006/relationships/hyperlink" Target="https://en.wikipedia.org/wiki/Lee_County,_North_Carolina" TargetMode="External"/><Relationship Id="rId1227" Type="http://schemas.openxmlformats.org/officeDocument/2006/relationships/hyperlink" Target="https://en.wikipedia.org/wiki/Crawford_County,_Illinois" TargetMode="External"/><Relationship Id="rId2558" Type="http://schemas.openxmlformats.org/officeDocument/2006/relationships/hyperlink" Target="https://en.wikipedia.org/wiki/Michigan" TargetMode="External"/><Relationship Id="rId3888" Type="http://schemas.openxmlformats.org/officeDocument/2006/relationships/hyperlink" Target="https://en.wikipedia.org/wiki/North_Carolina" TargetMode="External"/><Relationship Id="rId1228" Type="http://schemas.openxmlformats.org/officeDocument/2006/relationships/hyperlink" Target="https://en.wikipedia.org/wiki/Illinois" TargetMode="External"/><Relationship Id="rId2559" Type="http://schemas.openxmlformats.org/officeDocument/2006/relationships/hyperlink" Target="https://en.wikipedia.org/wiki/Livingston_County,_Michigan" TargetMode="External"/><Relationship Id="rId1229" Type="http://schemas.openxmlformats.org/officeDocument/2006/relationships/hyperlink" Target="https://en.wikipedia.org/wiki/Cumberland_County,_Illinois" TargetMode="External"/><Relationship Id="rId3881" Type="http://schemas.openxmlformats.org/officeDocument/2006/relationships/hyperlink" Target="https://en.wikipedia.org/wiki/Iredell_County,_North_Carolina" TargetMode="External"/><Relationship Id="rId2550" Type="http://schemas.openxmlformats.org/officeDocument/2006/relationships/hyperlink" Target="https://en.wikipedia.org/wiki/Michigan" TargetMode="External"/><Relationship Id="rId3880" Type="http://schemas.openxmlformats.org/officeDocument/2006/relationships/hyperlink" Target="https://en.wikipedia.org/wiki/North_Carolina" TargetMode="External"/><Relationship Id="rId1220" Type="http://schemas.openxmlformats.org/officeDocument/2006/relationships/hyperlink" Target="https://en.wikipedia.org/wiki/Illinois" TargetMode="External"/><Relationship Id="rId2551" Type="http://schemas.openxmlformats.org/officeDocument/2006/relationships/hyperlink" Target="https://en.wikipedia.org/wiki/Lake_County,_Michigan" TargetMode="External"/><Relationship Id="rId3883" Type="http://schemas.openxmlformats.org/officeDocument/2006/relationships/hyperlink" Target="https://en.wikipedia.org/wiki/Jackson_County,_North_Carolina" TargetMode="External"/><Relationship Id="rId1221" Type="http://schemas.openxmlformats.org/officeDocument/2006/relationships/hyperlink" Target="https://en.wikipedia.org/wiki/Clinton_County,_Illinois" TargetMode="External"/><Relationship Id="rId2552" Type="http://schemas.openxmlformats.org/officeDocument/2006/relationships/hyperlink" Target="https://en.wikipedia.org/wiki/Michigan" TargetMode="External"/><Relationship Id="rId3882" Type="http://schemas.openxmlformats.org/officeDocument/2006/relationships/hyperlink" Target="https://en.wikipedia.org/wiki/North_Carolina" TargetMode="External"/><Relationship Id="rId1222" Type="http://schemas.openxmlformats.org/officeDocument/2006/relationships/hyperlink" Target="https://en.wikipedia.org/wiki/Illinois" TargetMode="External"/><Relationship Id="rId2553" Type="http://schemas.openxmlformats.org/officeDocument/2006/relationships/hyperlink" Target="https://en.wikipedia.org/wiki/Lapeer_County,_Michigan" TargetMode="External"/><Relationship Id="rId3885" Type="http://schemas.openxmlformats.org/officeDocument/2006/relationships/hyperlink" Target="https://en.wikipedia.org/wiki/Johnston_County,_North_Carolina" TargetMode="External"/><Relationship Id="rId1223" Type="http://schemas.openxmlformats.org/officeDocument/2006/relationships/hyperlink" Target="https://en.wikipedia.org/wiki/Coles_County,_Illinois" TargetMode="External"/><Relationship Id="rId2554" Type="http://schemas.openxmlformats.org/officeDocument/2006/relationships/hyperlink" Target="https://en.wikipedia.org/wiki/Michigan" TargetMode="External"/><Relationship Id="rId3884" Type="http://schemas.openxmlformats.org/officeDocument/2006/relationships/hyperlink" Target="https://en.wikipedia.org/wiki/North_Carolina" TargetMode="External"/><Relationship Id="rId2500" Type="http://schemas.openxmlformats.org/officeDocument/2006/relationships/hyperlink" Target="https://en.wikipedia.org/wiki/Michigan" TargetMode="External"/><Relationship Id="rId3832" Type="http://schemas.openxmlformats.org/officeDocument/2006/relationships/hyperlink" Target="https://en.wikipedia.org/wiki/North_Carolina" TargetMode="External"/><Relationship Id="rId2501" Type="http://schemas.openxmlformats.org/officeDocument/2006/relationships/hyperlink" Target="https://en.wikipedia.org/wiki/Clare_County,_Michigan" TargetMode="External"/><Relationship Id="rId3831" Type="http://schemas.openxmlformats.org/officeDocument/2006/relationships/hyperlink" Target="https://en.wikipedia.org/wiki/Columbus_County,_North_Carolina" TargetMode="External"/><Relationship Id="rId2502" Type="http://schemas.openxmlformats.org/officeDocument/2006/relationships/hyperlink" Target="https://en.wikipedia.org/wiki/Michigan" TargetMode="External"/><Relationship Id="rId3834" Type="http://schemas.openxmlformats.org/officeDocument/2006/relationships/hyperlink" Target="https://en.wikipedia.org/wiki/North_Carolina" TargetMode="External"/><Relationship Id="rId2503" Type="http://schemas.openxmlformats.org/officeDocument/2006/relationships/hyperlink" Target="https://en.wikipedia.org/wiki/Clinton_County,_Michigan" TargetMode="External"/><Relationship Id="rId3833" Type="http://schemas.openxmlformats.org/officeDocument/2006/relationships/hyperlink" Target="https://en.wikipedia.org/wiki/Craven_County,_North_Carolina" TargetMode="External"/><Relationship Id="rId2504" Type="http://schemas.openxmlformats.org/officeDocument/2006/relationships/hyperlink" Target="https://en.wikipedia.org/wiki/Michigan" TargetMode="External"/><Relationship Id="rId3836" Type="http://schemas.openxmlformats.org/officeDocument/2006/relationships/hyperlink" Target="https://en.wikipedia.org/wiki/North_Carolina" TargetMode="External"/><Relationship Id="rId2505" Type="http://schemas.openxmlformats.org/officeDocument/2006/relationships/hyperlink" Target="https://en.wikipedia.org/wiki/Crawford_County,_Michigan" TargetMode="External"/><Relationship Id="rId3835" Type="http://schemas.openxmlformats.org/officeDocument/2006/relationships/hyperlink" Target="https://en.wikipedia.org/wiki/Cumberland_County,_North_Carolina" TargetMode="External"/><Relationship Id="rId2506" Type="http://schemas.openxmlformats.org/officeDocument/2006/relationships/hyperlink" Target="https://en.wikipedia.org/wiki/Michigan" TargetMode="External"/><Relationship Id="rId3838" Type="http://schemas.openxmlformats.org/officeDocument/2006/relationships/hyperlink" Target="https://en.wikipedia.org/wiki/North_Carolina" TargetMode="External"/><Relationship Id="rId2507" Type="http://schemas.openxmlformats.org/officeDocument/2006/relationships/hyperlink" Target="https://en.wikipedia.org/wiki/Delta_County,_Michigan" TargetMode="External"/><Relationship Id="rId3837" Type="http://schemas.openxmlformats.org/officeDocument/2006/relationships/hyperlink" Target="https://en.wikipedia.org/wiki/Currituck_County,_North_Carolina" TargetMode="External"/><Relationship Id="rId2508" Type="http://schemas.openxmlformats.org/officeDocument/2006/relationships/hyperlink" Target="https://en.wikipedia.org/wiki/Michigan" TargetMode="External"/><Relationship Id="rId2509" Type="http://schemas.openxmlformats.org/officeDocument/2006/relationships/hyperlink" Target="https://en.wikipedia.org/wiki/Dickinson_County,_Michigan" TargetMode="External"/><Relationship Id="rId3839" Type="http://schemas.openxmlformats.org/officeDocument/2006/relationships/hyperlink" Target="https://en.wikipedia.org/wiki/Dare_County,_North_Carolina" TargetMode="External"/><Relationship Id="rId3830" Type="http://schemas.openxmlformats.org/officeDocument/2006/relationships/hyperlink" Target="https://en.wikipedia.org/wiki/North_Carolina" TargetMode="External"/><Relationship Id="rId3821" Type="http://schemas.openxmlformats.org/officeDocument/2006/relationships/hyperlink" Target="https://en.wikipedia.org/wiki/Chatham_County,_North_Carolina" TargetMode="External"/><Relationship Id="rId3820" Type="http://schemas.openxmlformats.org/officeDocument/2006/relationships/hyperlink" Target="https://en.wikipedia.org/wiki/North_Carolina" TargetMode="External"/><Relationship Id="rId3823" Type="http://schemas.openxmlformats.org/officeDocument/2006/relationships/hyperlink" Target="https://en.wikipedia.org/wiki/Cherokee_County,_North_Carolina" TargetMode="External"/><Relationship Id="rId3822" Type="http://schemas.openxmlformats.org/officeDocument/2006/relationships/hyperlink" Target="https://en.wikipedia.org/wiki/North_Carolina" TargetMode="External"/><Relationship Id="rId3825" Type="http://schemas.openxmlformats.org/officeDocument/2006/relationships/hyperlink" Target="https://en.wikipedia.org/wiki/Chowan_County,_North_Carolina" TargetMode="External"/><Relationship Id="rId3824" Type="http://schemas.openxmlformats.org/officeDocument/2006/relationships/hyperlink" Target="https://en.wikipedia.org/wiki/North_Carolina" TargetMode="External"/><Relationship Id="rId3827" Type="http://schemas.openxmlformats.org/officeDocument/2006/relationships/hyperlink" Target="https://en.wikipedia.org/wiki/Clay_County,_North_Carolina" TargetMode="External"/><Relationship Id="rId3826" Type="http://schemas.openxmlformats.org/officeDocument/2006/relationships/hyperlink" Target="https://en.wikipedia.org/wiki/North_Carolina" TargetMode="External"/><Relationship Id="rId3829" Type="http://schemas.openxmlformats.org/officeDocument/2006/relationships/hyperlink" Target="https://en.wikipedia.org/wiki/Cleveland_County,_North_Carolina" TargetMode="External"/><Relationship Id="rId3828" Type="http://schemas.openxmlformats.org/officeDocument/2006/relationships/hyperlink" Target="https://en.wikipedia.org/wiki/North_Carolina" TargetMode="External"/><Relationship Id="rId6094" Type="http://schemas.openxmlformats.org/officeDocument/2006/relationships/hyperlink" Target="https://en.wikipedia.org/wiki/West_Virginia" TargetMode="External"/><Relationship Id="rId6095" Type="http://schemas.openxmlformats.org/officeDocument/2006/relationships/hyperlink" Target="https://en.wikipedia.org/wiki/Wirt_County,_West_Virginia" TargetMode="External"/><Relationship Id="rId6092" Type="http://schemas.openxmlformats.org/officeDocument/2006/relationships/hyperlink" Target="https://en.wikipedia.org/wiki/West_Virginia" TargetMode="External"/><Relationship Id="rId6093" Type="http://schemas.openxmlformats.org/officeDocument/2006/relationships/hyperlink" Target="https://en.wikipedia.org/wiki/Wetzel_County,_West_Virginia" TargetMode="External"/><Relationship Id="rId6098" Type="http://schemas.openxmlformats.org/officeDocument/2006/relationships/hyperlink" Target="https://en.wikipedia.org/wiki/West_Virginia" TargetMode="External"/><Relationship Id="rId6099" Type="http://schemas.openxmlformats.org/officeDocument/2006/relationships/hyperlink" Target="https://en.wikipedia.org/wiki/Wyoming_County,_West_Virginia" TargetMode="External"/><Relationship Id="rId6096" Type="http://schemas.openxmlformats.org/officeDocument/2006/relationships/hyperlink" Target="https://en.wikipedia.org/wiki/West_Virginia" TargetMode="External"/><Relationship Id="rId6097" Type="http://schemas.openxmlformats.org/officeDocument/2006/relationships/hyperlink" Target="https://en.wikipedia.org/wiki/Wood_County,_West_Virginia" TargetMode="External"/><Relationship Id="rId2522" Type="http://schemas.openxmlformats.org/officeDocument/2006/relationships/hyperlink" Target="https://en.wikipedia.org/wiki/Michigan" TargetMode="External"/><Relationship Id="rId3854" Type="http://schemas.openxmlformats.org/officeDocument/2006/relationships/hyperlink" Target="https://en.wikipedia.org/wiki/North_Carolina" TargetMode="External"/><Relationship Id="rId2523" Type="http://schemas.openxmlformats.org/officeDocument/2006/relationships/hyperlink" Target="https://en.wikipedia.org/wiki/Gratiot_County,_Michigan" TargetMode="External"/><Relationship Id="rId3853" Type="http://schemas.openxmlformats.org/officeDocument/2006/relationships/hyperlink" Target="https://en.wikipedia.org/wiki/Franklin_County,_North_Carolina" TargetMode="External"/><Relationship Id="rId2524" Type="http://schemas.openxmlformats.org/officeDocument/2006/relationships/hyperlink" Target="https://en.wikipedia.org/wiki/Michigan" TargetMode="External"/><Relationship Id="rId3856" Type="http://schemas.openxmlformats.org/officeDocument/2006/relationships/hyperlink" Target="https://en.wikipedia.org/wiki/North_Carolina" TargetMode="External"/><Relationship Id="rId2525" Type="http://schemas.openxmlformats.org/officeDocument/2006/relationships/hyperlink" Target="https://en.wikipedia.org/wiki/Hillsdale_County,_Michigan" TargetMode="External"/><Relationship Id="rId3855" Type="http://schemas.openxmlformats.org/officeDocument/2006/relationships/hyperlink" Target="https://en.wikipedia.org/wiki/Gaston_County,_North_Carolina" TargetMode="External"/><Relationship Id="rId2526" Type="http://schemas.openxmlformats.org/officeDocument/2006/relationships/hyperlink" Target="https://en.wikipedia.org/wiki/Michigan" TargetMode="External"/><Relationship Id="rId3858" Type="http://schemas.openxmlformats.org/officeDocument/2006/relationships/hyperlink" Target="https://en.wikipedia.org/wiki/North_Carolina" TargetMode="External"/><Relationship Id="rId2527" Type="http://schemas.openxmlformats.org/officeDocument/2006/relationships/hyperlink" Target="https://en.wikipedia.org/wiki/Houghton_County,_Michigan" TargetMode="External"/><Relationship Id="rId3857" Type="http://schemas.openxmlformats.org/officeDocument/2006/relationships/hyperlink" Target="https://en.wikipedia.org/wiki/Gates_County,_North_Carolina" TargetMode="External"/><Relationship Id="rId2528" Type="http://schemas.openxmlformats.org/officeDocument/2006/relationships/hyperlink" Target="https://en.wikipedia.org/wiki/Michigan" TargetMode="External"/><Relationship Id="rId2529" Type="http://schemas.openxmlformats.org/officeDocument/2006/relationships/hyperlink" Target="https://en.wikipedia.org/wiki/Huron_County,_Michigan" TargetMode="External"/><Relationship Id="rId3859" Type="http://schemas.openxmlformats.org/officeDocument/2006/relationships/hyperlink" Target="https://en.wikipedia.org/wiki/Graham_County,_North_Carolina" TargetMode="External"/><Relationship Id="rId3850" Type="http://schemas.openxmlformats.org/officeDocument/2006/relationships/hyperlink" Target="https://en.wikipedia.org/wiki/North_Carolina" TargetMode="External"/><Relationship Id="rId2520" Type="http://schemas.openxmlformats.org/officeDocument/2006/relationships/hyperlink" Target="https://en.wikipedia.org/wiki/Michigan" TargetMode="External"/><Relationship Id="rId3852" Type="http://schemas.openxmlformats.org/officeDocument/2006/relationships/hyperlink" Target="https://en.wikipedia.org/wiki/North_Carolina" TargetMode="External"/><Relationship Id="rId2521" Type="http://schemas.openxmlformats.org/officeDocument/2006/relationships/hyperlink" Target="https://en.wikipedia.org/wiki/Grand_Traverse_County,_Michigan" TargetMode="External"/><Relationship Id="rId3851" Type="http://schemas.openxmlformats.org/officeDocument/2006/relationships/hyperlink" Target="https://en.wikipedia.org/wiki/Forsyth_County,_North_Carolina" TargetMode="External"/><Relationship Id="rId2511" Type="http://schemas.openxmlformats.org/officeDocument/2006/relationships/hyperlink" Target="https://en.wikipedia.org/wiki/Eaton_County,_Michigan" TargetMode="External"/><Relationship Id="rId3843" Type="http://schemas.openxmlformats.org/officeDocument/2006/relationships/hyperlink" Target="https://en.wikipedia.org/wiki/Davie_County,_North_Carolina" TargetMode="External"/><Relationship Id="rId2512" Type="http://schemas.openxmlformats.org/officeDocument/2006/relationships/hyperlink" Target="https://en.wikipedia.org/wiki/Michigan" TargetMode="External"/><Relationship Id="rId3842" Type="http://schemas.openxmlformats.org/officeDocument/2006/relationships/hyperlink" Target="https://en.wikipedia.org/wiki/North_Carolina" TargetMode="External"/><Relationship Id="rId2513" Type="http://schemas.openxmlformats.org/officeDocument/2006/relationships/hyperlink" Target="https://en.wikipedia.org/wiki/Emmet_County,_Michigan" TargetMode="External"/><Relationship Id="rId3845" Type="http://schemas.openxmlformats.org/officeDocument/2006/relationships/hyperlink" Target="https://en.wikipedia.org/wiki/Duplin_County,_North_Carolina" TargetMode="External"/><Relationship Id="rId2514" Type="http://schemas.openxmlformats.org/officeDocument/2006/relationships/hyperlink" Target="https://en.wikipedia.org/wiki/Michigan" TargetMode="External"/><Relationship Id="rId3844" Type="http://schemas.openxmlformats.org/officeDocument/2006/relationships/hyperlink" Target="https://en.wikipedia.org/wiki/North_Carolina" TargetMode="External"/><Relationship Id="rId2515" Type="http://schemas.openxmlformats.org/officeDocument/2006/relationships/hyperlink" Target="https://en.wikipedia.org/wiki/Genesee_County,_Michigan" TargetMode="External"/><Relationship Id="rId3847" Type="http://schemas.openxmlformats.org/officeDocument/2006/relationships/hyperlink" Target="https://en.wikipedia.org/wiki/Durham_County,_North_Carolina" TargetMode="External"/><Relationship Id="rId2516" Type="http://schemas.openxmlformats.org/officeDocument/2006/relationships/hyperlink" Target="https://en.wikipedia.org/wiki/Michigan" TargetMode="External"/><Relationship Id="rId3846" Type="http://schemas.openxmlformats.org/officeDocument/2006/relationships/hyperlink" Target="https://en.wikipedia.org/wiki/North_Carolina" TargetMode="External"/><Relationship Id="rId2517" Type="http://schemas.openxmlformats.org/officeDocument/2006/relationships/hyperlink" Target="https://en.wikipedia.org/wiki/Gladwin_County,_Michigan" TargetMode="External"/><Relationship Id="rId3849" Type="http://schemas.openxmlformats.org/officeDocument/2006/relationships/hyperlink" Target="https://en.wikipedia.org/wiki/Edgecombe_County,_North_Carolina" TargetMode="External"/><Relationship Id="rId2518" Type="http://schemas.openxmlformats.org/officeDocument/2006/relationships/hyperlink" Target="https://en.wikipedia.org/wiki/Michigan" TargetMode="External"/><Relationship Id="rId3848" Type="http://schemas.openxmlformats.org/officeDocument/2006/relationships/hyperlink" Target="https://en.wikipedia.org/wiki/North_Carolina" TargetMode="External"/><Relationship Id="rId2519" Type="http://schemas.openxmlformats.org/officeDocument/2006/relationships/hyperlink" Target="https://en.wikipedia.org/wiki/Gogebic_County,_Michigan" TargetMode="External"/><Relationship Id="rId3841" Type="http://schemas.openxmlformats.org/officeDocument/2006/relationships/hyperlink" Target="https://en.wikipedia.org/wiki/Davidson_County,_North_Carolina" TargetMode="External"/><Relationship Id="rId2510" Type="http://schemas.openxmlformats.org/officeDocument/2006/relationships/hyperlink" Target="https://en.wikipedia.org/wiki/Michigan" TargetMode="External"/><Relationship Id="rId3840" Type="http://schemas.openxmlformats.org/officeDocument/2006/relationships/hyperlink" Target="https://en.wikipedia.org/wiki/North_Carolina" TargetMode="External"/><Relationship Id="rId1290" Type="http://schemas.openxmlformats.org/officeDocument/2006/relationships/hyperlink" Target="https://en.wikipedia.org/wiki/Illinois" TargetMode="External"/><Relationship Id="rId1291" Type="http://schemas.openxmlformats.org/officeDocument/2006/relationships/hyperlink" Target="https://en.wikipedia.org/wiki/Lake_County,_Illinois" TargetMode="External"/><Relationship Id="rId1292" Type="http://schemas.openxmlformats.org/officeDocument/2006/relationships/hyperlink" Target="https://en.wikipedia.org/wiki/Illinois" TargetMode="External"/><Relationship Id="rId1293" Type="http://schemas.openxmlformats.org/officeDocument/2006/relationships/hyperlink" Target="https://en.wikipedia.org/wiki/La_Salle_County,_Illinois" TargetMode="External"/><Relationship Id="rId1294" Type="http://schemas.openxmlformats.org/officeDocument/2006/relationships/hyperlink" Target="https://en.wikipedia.org/wiki/Illinois" TargetMode="External"/><Relationship Id="rId1295" Type="http://schemas.openxmlformats.org/officeDocument/2006/relationships/hyperlink" Target="https://en.wikipedia.org/wiki/Lawrence_County,_Illinois" TargetMode="External"/><Relationship Id="rId1296" Type="http://schemas.openxmlformats.org/officeDocument/2006/relationships/hyperlink" Target="https://en.wikipedia.org/wiki/Illinois" TargetMode="External"/><Relationship Id="rId1297" Type="http://schemas.openxmlformats.org/officeDocument/2006/relationships/hyperlink" Target="https://en.wikipedia.org/wiki/Lee_County,_Illinois" TargetMode="External"/><Relationship Id="rId1298" Type="http://schemas.openxmlformats.org/officeDocument/2006/relationships/hyperlink" Target="https://en.wikipedia.org/wiki/Illinois" TargetMode="External"/><Relationship Id="rId1299" Type="http://schemas.openxmlformats.org/officeDocument/2006/relationships/hyperlink" Target="https://en.wikipedia.org/wiki/Livingston_County,_Illinois" TargetMode="External"/><Relationship Id="rId1280" Type="http://schemas.openxmlformats.org/officeDocument/2006/relationships/hyperlink" Target="https://en.wikipedia.org/wiki/Illinois" TargetMode="External"/><Relationship Id="rId1281" Type="http://schemas.openxmlformats.org/officeDocument/2006/relationships/hyperlink" Target="https://en.wikipedia.org/wiki/Johnson_County,_Illinois" TargetMode="External"/><Relationship Id="rId1282" Type="http://schemas.openxmlformats.org/officeDocument/2006/relationships/hyperlink" Target="https://en.wikipedia.org/wiki/Illinois" TargetMode="External"/><Relationship Id="rId1283" Type="http://schemas.openxmlformats.org/officeDocument/2006/relationships/hyperlink" Target="https://en.wikipedia.org/wiki/Kane_County,_Illinois" TargetMode="External"/><Relationship Id="rId1284" Type="http://schemas.openxmlformats.org/officeDocument/2006/relationships/hyperlink" Target="https://en.wikipedia.org/wiki/Illinois" TargetMode="External"/><Relationship Id="rId1285" Type="http://schemas.openxmlformats.org/officeDocument/2006/relationships/hyperlink" Target="https://en.wikipedia.org/wiki/Kankakee_County,_Illinois" TargetMode="External"/><Relationship Id="rId1286" Type="http://schemas.openxmlformats.org/officeDocument/2006/relationships/hyperlink" Target="https://en.wikipedia.org/wiki/Illinois" TargetMode="External"/><Relationship Id="rId1287" Type="http://schemas.openxmlformats.org/officeDocument/2006/relationships/hyperlink" Target="https://en.wikipedia.org/wiki/Kendall_County,_Illinois" TargetMode="External"/><Relationship Id="rId1288" Type="http://schemas.openxmlformats.org/officeDocument/2006/relationships/hyperlink" Target="https://en.wikipedia.org/wiki/Illinois" TargetMode="External"/><Relationship Id="rId1289" Type="http://schemas.openxmlformats.org/officeDocument/2006/relationships/hyperlink" Target="https://en.wikipedia.org/wiki/Knox_County,_Illinois" TargetMode="External"/><Relationship Id="rId1257" Type="http://schemas.openxmlformats.org/officeDocument/2006/relationships/hyperlink" Target="https://en.wikipedia.org/wiki/Grundy_County,_Illinois" TargetMode="External"/><Relationship Id="rId2588" Type="http://schemas.openxmlformats.org/officeDocument/2006/relationships/hyperlink" Target="https://en.wikipedia.org/wiki/Michigan" TargetMode="External"/><Relationship Id="rId1258" Type="http://schemas.openxmlformats.org/officeDocument/2006/relationships/hyperlink" Target="https://en.wikipedia.org/wiki/Illinois" TargetMode="External"/><Relationship Id="rId2589" Type="http://schemas.openxmlformats.org/officeDocument/2006/relationships/hyperlink" Target="https://en.wikipedia.org/wiki/Newaygo_County,_Michigan" TargetMode="External"/><Relationship Id="rId1259" Type="http://schemas.openxmlformats.org/officeDocument/2006/relationships/hyperlink" Target="https://en.wikipedia.org/wiki/Hamilton_County,_Illinois" TargetMode="External"/><Relationship Id="rId2580" Type="http://schemas.openxmlformats.org/officeDocument/2006/relationships/hyperlink" Target="https://en.wikipedia.org/wiki/Michigan" TargetMode="External"/><Relationship Id="rId1250" Type="http://schemas.openxmlformats.org/officeDocument/2006/relationships/hyperlink" Target="https://en.wikipedia.org/wiki/Illinois" TargetMode="External"/><Relationship Id="rId2581" Type="http://schemas.openxmlformats.org/officeDocument/2006/relationships/hyperlink" Target="https://en.wikipedia.org/wiki/Monroe_County,_Michigan" TargetMode="External"/><Relationship Id="rId1251" Type="http://schemas.openxmlformats.org/officeDocument/2006/relationships/hyperlink" Target="https://en.wikipedia.org/wiki/Fulton_County,_Illinois" TargetMode="External"/><Relationship Id="rId2582" Type="http://schemas.openxmlformats.org/officeDocument/2006/relationships/hyperlink" Target="https://en.wikipedia.org/wiki/Michigan" TargetMode="External"/><Relationship Id="rId1252" Type="http://schemas.openxmlformats.org/officeDocument/2006/relationships/hyperlink" Target="https://en.wikipedia.org/wiki/Illinois" TargetMode="External"/><Relationship Id="rId2583" Type="http://schemas.openxmlformats.org/officeDocument/2006/relationships/hyperlink" Target="https://en.wikipedia.org/wiki/Montcalm_County,_Michigan" TargetMode="External"/><Relationship Id="rId1253" Type="http://schemas.openxmlformats.org/officeDocument/2006/relationships/hyperlink" Target="https://en.wikipedia.org/wiki/Gallatin_County,_Illinois" TargetMode="External"/><Relationship Id="rId2584" Type="http://schemas.openxmlformats.org/officeDocument/2006/relationships/hyperlink" Target="https://en.wikipedia.org/wiki/Michigan" TargetMode="External"/><Relationship Id="rId1254" Type="http://schemas.openxmlformats.org/officeDocument/2006/relationships/hyperlink" Target="https://en.wikipedia.org/wiki/Illinois" TargetMode="External"/><Relationship Id="rId2585" Type="http://schemas.openxmlformats.org/officeDocument/2006/relationships/hyperlink" Target="https://en.wikipedia.org/wiki/Montmorency_County,_Michigan" TargetMode="External"/><Relationship Id="rId1255" Type="http://schemas.openxmlformats.org/officeDocument/2006/relationships/hyperlink" Target="https://en.wikipedia.org/wiki/Greene_County,_Illinois" TargetMode="External"/><Relationship Id="rId2586" Type="http://schemas.openxmlformats.org/officeDocument/2006/relationships/hyperlink" Target="https://en.wikipedia.org/wiki/Michigan" TargetMode="External"/><Relationship Id="rId1256" Type="http://schemas.openxmlformats.org/officeDocument/2006/relationships/hyperlink" Target="https://en.wikipedia.org/wiki/Illinois" TargetMode="External"/><Relationship Id="rId2587" Type="http://schemas.openxmlformats.org/officeDocument/2006/relationships/hyperlink" Target="https://en.wikipedia.org/wiki/Muskegon_County,_Michigan" TargetMode="External"/><Relationship Id="rId1246" Type="http://schemas.openxmlformats.org/officeDocument/2006/relationships/hyperlink" Target="https://en.wikipedia.org/wiki/Illinois" TargetMode="External"/><Relationship Id="rId2577" Type="http://schemas.openxmlformats.org/officeDocument/2006/relationships/hyperlink" Target="https://en.wikipedia.org/wiki/Midland_County,_Michigan" TargetMode="External"/><Relationship Id="rId1247" Type="http://schemas.openxmlformats.org/officeDocument/2006/relationships/hyperlink" Target="https://en.wikipedia.org/wiki/Ford_County,_Illinois" TargetMode="External"/><Relationship Id="rId2578" Type="http://schemas.openxmlformats.org/officeDocument/2006/relationships/hyperlink" Target="https://en.wikipedia.org/wiki/Michigan" TargetMode="External"/><Relationship Id="rId1248" Type="http://schemas.openxmlformats.org/officeDocument/2006/relationships/hyperlink" Target="https://en.wikipedia.org/wiki/Illinois" TargetMode="External"/><Relationship Id="rId2579" Type="http://schemas.openxmlformats.org/officeDocument/2006/relationships/hyperlink" Target="https://en.wikipedia.org/wiki/Missaukee_County,_Michigan" TargetMode="External"/><Relationship Id="rId1249" Type="http://schemas.openxmlformats.org/officeDocument/2006/relationships/hyperlink" Target="https://en.wikipedia.org/wiki/Franklin_County,_Illinois" TargetMode="External"/><Relationship Id="rId2570" Type="http://schemas.openxmlformats.org/officeDocument/2006/relationships/hyperlink" Target="https://en.wikipedia.org/wiki/Michigan" TargetMode="External"/><Relationship Id="rId1240" Type="http://schemas.openxmlformats.org/officeDocument/2006/relationships/hyperlink" Target="https://en.wikipedia.org/wiki/Illinois" TargetMode="External"/><Relationship Id="rId2571" Type="http://schemas.openxmlformats.org/officeDocument/2006/relationships/hyperlink" Target="https://en.wikipedia.org/wiki/Mason_County,_Michigan" TargetMode="External"/><Relationship Id="rId1241" Type="http://schemas.openxmlformats.org/officeDocument/2006/relationships/hyperlink" Target="https://en.wikipedia.org/wiki/Edwards_County,_Illinois" TargetMode="External"/><Relationship Id="rId2572" Type="http://schemas.openxmlformats.org/officeDocument/2006/relationships/hyperlink" Target="https://en.wikipedia.org/wiki/Michigan" TargetMode="External"/><Relationship Id="rId1242" Type="http://schemas.openxmlformats.org/officeDocument/2006/relationships/hyperlink" Target="https://en.wikipedia.org/wiki/Illinois" TargetMode="External"/><Relationship Id="rId2573" Type="http://schemas.openxmlformats.org/officeDocument/2006/relationships/hyperlink" Target="https://en.wikipedia.org/wiki/Mecosta_County,_Michigan" TargetMode="External"/><Relationship Id="rId1243" Type="http://schemas.openxmlformats.org/officeDocument/2006/relationships/hyperlink" Target="https://en.wikipedia.org/wiki/Effingham_County,_Illinois" TargetMode="External"/><Relationship Id="rId2574" Type="http://schemas.openxmlformats.org/officeDocument/2006/relationships/hyperlink" Target="https://en.wikipedia.org/wiki/Michigan" TargetMode="External"/><Relationship Id="rId1244" Type="http://schemas.openxmlformats.org/officeDocument/2006/relationships/hyperlink" Target="https://en.wikipedia.org/wiki/Illinois" TargetMode="External"/><Relationship Id="rId2575" Type="http://schemas.openxmlformats.org/officeDocument/2006/relationships/hyperlink" Target="https://en.wikipedia.org/wiki/Menominee_County,_Michigan" TargetMode="External"/><Relationship Id="rId1245" Type="http://schemas.openxmlformats.org/officeDocument/2006/relationships/hyperlink" Target="https://en.wikipedia.org/wiki/Fayette_County,_Illinois" TargetMode="External"/><Relationship Id="rId2576" Type="http://schemas.openxmlformats.org/officeDocument/2006/relationships/hyperlink" Target="https://en.wikipedia.org/wiki/Michigan" TargetMode="External"/><Relationship Id="rId1279" Type="http://schemas.openxmlformats.org/officeDocument/2006/relationships/hyperlink" Target="https://en.wikipedia.org/wiki/Jo_Daviess_County,_Illinois" TargetMode="External"/><Relationship Id="rId1270" Type="http://schemas.openxmlformats.org/officeDocument/2006/relationships/hyperlink" Target="https://en.wikipedia.org/wiki/Illinois" TargetMode="External"/><Relationship Id="rId1271" Type="http://schemas.openxmlformats.org/officeDocument/2006/relationships/hyperlink" Target="https://en.wikipedia.org/wiki/Jackson_County,_Illinois" TargetMode="External"/><Relationship Id="rId1272" Type="http://schemas.openxmlformats.org/officeDocument/2006/relationships/hyperlink" Target="https://en.wikipedia.org/wiki/Illinois" TargetMode="External"/><Relationship Id="rId1273" Type="http://schemas.openxmlformats.org/officeDocument/2006/relationships/hyperlink" Target="https://en.wikipedia.org/wiki/Jasper_County,_Illinois" TargetMode="External"/><Relationship Id="rId1274" Type="http://schemas.openxmlformats.org/officeDocument/2006/relationships/hyperlink" Target="https://en.wikipedia.org/wiki/Illinois" TargetMode="External"/><Relationship Id="rId1275" Type="http://schemas.openxmlformats.org/officeDocument/2006/relationships/hyperlink" Target="https://en.wikipedia.org/wiki/Jefferson_County,_Illinois" TargetMode="External"/><Relationship Id="rId1276" Type="http://schemas.openxmlformats.org/officeDocument/2006/relationships/hyperlink" Target="https://en.wikipedia.org/wiki/Illinois" TargetMode="External"/><Relationship Id="rId1277" Type="http://schemas.openxmlformats.org/officeDocument/2006/relationships/hyperlink" Target="https://en.wikipedia.org/wiki/Jersey_County,_Illinois" TargetMode="External"/><Relationship Id="rId1278" Type="http://schemas.openxmlformats.org/officeDocument/2006/relationships/hyperlink" Target="https://en.wikipedia.org/wiki/Illinois" TargetMode="External"/><Relationship Id="rId1268" Type="http://schemas.openxmlformats.org/officeDocument/2006/relationships/hyperlink" Target="https://en.wikipedia.org/wiki/Illinois" TargetMode="External"/><Relationship Id="rId2599" Type="http://schemas.openxmlformats.org/officeDocument/2006/relationships/hyperlink" Target="https://en.wikipedia.org/wiki/Osceola_County,_Michigan" TargetMode="External"/><Relationship Id="rId1269" Type="http://schemas.openxmlformats.org/officeDocument/2006/relationships/hyperlink" Target="https://en.wikipedia.org/wiki/Iroquois_County,_Illinois" TargetMode="External"/><Relationship Id="rId2590" Type="http://schemas.openxmlformats.org/officeDocument/2006/relationships/hyperlink" Target="https://en.wikipedia.org/wiki/Michigan" TargetMode="External"/><Relationship Id="rId1260" Type="http://schemas.openxmlformats.org/officeDocument/2006/relationships/hyperlink" Target="https://en.wikipedia.org/wiki/Illinois" TargetMode="External"/><Relationship Id="rId2591" Type="http://schemas.openxmlformats.org/officeDocument/2006/relationships/hyperlink" Target="https://en.wikipedia.org/wiki/Oakland_County,_Michigan" TargetMode="External"/><Relationship Id="rId1261" Type="http://schemas.openxmlformats.org/officeDocument/2006/relationships/hyperlink" Target="https://en.wikipedia.org/wiki/Hancock_County,_Illinois" TargetMode="External"/><Relationship Id="rId2592" Type="http://schemas.openxmlformats.org/officeDocument/2006/relationships/hyperlink" Target="https://en.wikipedia.org/wiki/Michigan" TargetMode="External"/><Relationship Id="rId1262" Type="http://schemas.openxmlformats.org/officeDocument/2006/relationships/hyperlink" Target="https://en.wikipedia.org/wiki/Illinois" TargetMode="External"/><Relationship Id="rId2593" Type="http://schemas.openxmlformats.org/officeDocument/2006/relationships/hyperlink" Target="https://en.wikipedia.org/wiki/Oceana_County,_Michigan" TargetMode="External"/><Relationship Id="rId1263" Type="http://schemas.openxmlformats.org/officeDocument/2006/relationships/hyperlink" Target="https://en.wikipedia.org/wiki/Hardin_County,_Illinois" TargetMode="External"/><Relationship Id="rId2594" Type="http://schemas.openxmlformats.org/officeDocument/2006/relationships/hyperlink" Target="https://en.wikipedia.org/wiki/Michigan" TargetMode="External"/><Relationship Id="rId1264" Type="http://schemas.openxmlformats.org/officeDocument/2006/relationships/hyperlink" Target="https://en.wikipedia.org/wiki/Illinois" TargetMode="External"/><Relationship Id="rId2595" Type="http://schemas.openxmlformats.org/officeDocument/2006/relationships/hyperlink" Target="https://en.wikipedia.org/wiki/Ogemaw_County,_Michigan" TargetMode="External"/><Relationship Id="rId1265" Type="http://schemas.openxmlformats.org/officeDocument/2006/relationships/hyperlink" Target="https://en.wikipedia.org/wiki/Henderson_County,_Illinois" TargetMode="External"/><Relationship Id="rId2596" Type="http://schemas.openxmlformats.org/officeDocument/2006/relationships/hyperlink" Target="https://en.wikipedia.org/wiki/Michigan" TargetMode="External"/><Relationship Id="rId1266" Type="http://schemas.openxmlformats.org/officeDocument/2006/relationships/hyperlink" Target="https://en.wikipedia.org/wiki/Illinois" TargetMode="External"/><Relationship Id="rId2597" Type="http://schemas.openxmlformats.org/officeDocument/2006/relationships/hyperlink" Target="https://en.wikipedia.org/wiki/Ontonagon_County,_Michigan" TargetMode="External"/><Relationship Id="rId1267" Type="http://schemas.openxmlformats.org/officeDocument/2006/relationships/hyperlink" Target="https://en.wikipedia.org/wiki/Henry_County,_Illinois" TargetMode="External"/><Relationship Id="rId2598" Type="http://schemas.openxmlformats.org/officeDocument/2006/relationships/hyperlink" Target="https://en.wikipedia.org/wiki/Michigan" TargetMode="External"/><Relationship Id="rId3070" Type="http://schemas.openxmlformats.org/officeDocument/2006/relationships/hyperlink" Target="https://en.wikipedia.org/wiki/Missouri" TargetMode="External"/><Relationship Id="rId3072" Type="http://schemas.openxmlformats.org/officeDocument/2006/relationships/hyperlink" Target="https://en.wikipedia.org/wiki/Missouri" TargetMode="External"/><Relationship Id="rId3071" Type="http://schemas.openxmlformats.org/officeDocument/2006/relationships/hyperlink" Target="https://en.wikipedia.org/wiki/Johnson_County,_Missouri" TargetMode="External"/><Relationship Id="rId3074" Type="http://schemas.openxmlformats.org/officeDocument/2006/relationships/hyperlink" Target="https://en.wikipedia.org/wiki/Missouri" TargetMode="External"/><Relationship Id="rId3073" Type="http://schemas.openxmlformats.org/officeDocument/2006/relationships/hyperlink" Target="https://en.wikipedia.org/wiki/Knox_County,_Missouri" TargetMode="External"/><Relationship Id="rId3076" Type="http://schemas.openxmlformats.org/officeDocument/2006/relationships/hyperlink" Target="https://en.wikipedia.org/wiki/Missouri" TargetMode="External"/><Relationship Id="rId3075" Type="http://schemas.openxmlformats.org/officeDocument/2006/relationships/hyperlink" Target="https://en.wikipedia.org/wiki/Laclede_County,_Missouri" TargetMode="External"/><Relationship Id="rId3078" Type="http://schemas.openxmlformats.org/officeDocument/2006/relationships/hyperlink" Target="https://en.wikipedia.org/wiki/Missouri" TargetMode="External"/><Relationship Id="rId3077" Type="http://schemas.openxmlformats.org/officeDocument/2006/relationships/hyperlink" Target="https://en.wikipedia.org/wiki/Lafayette_County,_Missouri" TargetMode="External"/><Relationship Id="rId3079" Type="http://schemas.openxmlformats.org/officeDocument/2006/relationships/hyperlink" Target="https://en.wikipedia.org/wiki/Lawrence_County,_Missouri" TargetMode="External"/><Relationship Id="rId4390" Type="http://schemas.openxmlformats.org/officeDocument/2006/relationships/hyperlink" Target="https://en.wikipedia.org/wiki/Oklahoma" TargetMode="External"/><Relationship Id="rId3061" Type="http://schemas.openxmlformats.org/officeDocument/2006/relationships/hyperlink" Target="https://en.wikipedia.org/wiki/Howell_County,_Missouri" TargetMode="External"/><Relationship Id="rId4392" Type="http://schemas.openxmlformats.org/officeDocument/2006/relationships/hyperlink" Target="https://en.wikipedia.org/wiki/Oklahoma" TargetMode="External"/><Relationship Id="rId3060" Type="http://schemas.openxmlformats.org/officeDocument/2006/relationships/hyperlink" Target="https://en.wikipedia.org/wiki/Missouri" TargetMode="External"/><Relationship Id="rId4391" Type="http://schemas.openxmlformats.org/officeDocument/2006/relationships/hyperlink" Target="https://en.wikipedia.org/wiki/Pottawatomie_County,_Oklahoma" TargetMode="External"/><Relationship Id="rId3063" Type="http://schemas.openxmlformats.org/officeDocument/2006/relationships/hyperlink" Target="https://en.wikipedia.org/wiki/Iron_County,_Missouri" TargetMode="External"/><Relationship Id="rId4394" Type="http://schemas.openxmlformats.org/officeDocument/2006/relationships/hyperlink" Target="https://en.wikipedia.org/wiki/Oklahoma" TargetMode="External"/><Relationship Id="rId3062" Type="http://schemas.openxmlformats.org/officeDocument/2006/relationships/hyperlink" Target="https://en.wikipedia.org/wiki/Missouri" TargetMode="External"/><Relationship Id="rId4393" Type="http://schemas.openxmlformats.org/officeDocument/2006/relationships/hyperlink" Target="https://en.wikipedia.org/wiki/Pushmataha_County,_Oklahoma" TargetMode="External"/><Relationship Id="rId3065" Type="http://schemas.openxmlformats.org/officeDocument/2006/relationships/hyperlink" Target="https://en.wikipedia.org/wiki/Jackson_County,_Missouri" TargetMode="External"/><Relationship Id="rId4396" Type="http://schemas.openxmlformats.org/officeDocument/2006/relationships/hyperlink" Target="https://en.wikipedia.org/wiki/Oklahoma" TargetMode="External"/><Relationship Id="rId3064" Type="http://schemas.openxmlformats.org/officeDocument/2006/relationships/hyperlink" Target="https://en.wikipedia.org/wiki/Missouri" TargetMode="External"/><Relationship Id="rId4395" Type="http://schemas.openxmlformats.org/officeDocument/2006/relationships/hyperlink" Target="https://en.wikipedia.org/wiki/Roger_Mills_County,_Oklahoma" TargetMode="External"/><Relationship Id="rId3067" Type="http://schemas.openxmlformats.org/officeDocument/2006/relationships/hyperlink" Target="https://en.wikipedia.org/wiki/Jasper_County,_Missouri" TargetMode="External"/><Relationship Id="rId4398" Type="http://schemas.openxmlformats.org/officeDocument/2006/relationships/hyperlink" Target="https://en.wikipedia.org/wiki/Oklahoma" TargetMode="External"/><Relationship Id="rId3066" Type="http://schemas.openxmlformats.org/officeDocument/2006/relationships/hyperlink" Target="https://en.wikipedia.org/wiki/Missouri" TargetMode="External"/><Relationship Id="rId4397" Type="http://schemas.openxmlformats.org/officeDocument/2006/relationships/hyperlink" Target="https://en.wikipedia.org/wiki/Rogers_County,_Oklahoma" TargetMode="External"/><Relationship Id="rId3069" Type="http://schemas.openxmlformats.org/officeDocument/2006/relationships/hyperlink" Target="https://en.wikipedia.org/wiki/Jefferson_County,_Missouri" TargetMode="External"/><Relationship Id="rId3068" Type="http://schemas.openxmlformats.org/officeDocument/2006/relationships/hyperlink" Target="https://en.wikipedia.org/wiki/Missouri" TargetMode="External"/><Relationship Id="rId4399" Type="http://schemas.openxmlformats.org/officeDocument/2006/relationships/hyperlink" Target="https://en.wikipedia.org/wiki/Seminole_County,_Oklahoma" TargetMode="External"/><Relationship Id="rId3090" Type="http://schemas.openxmlformats.org/officeDocument/2006/relationships/hyperlink" Target="https://en.wikipedia.org/wiki/Missouri" TargetMode="External"/><Relationship Id="rId3092" Type="http://schemas.openxmlformats.org/officeDocument/2006/relationships/hyperlink" Target="https://en.wikipedia.org/wiki/Missouri" TargetMode="External"/><Relationship Id="rId3091" Type="http://schemas.openxmlformats.org/officeDocument/2006/relationships/hyperlink" Target="https://en.wikipedia.org/wiki/Macon_County,_Missouri" TargetMode="External"/><Relationship Id="rId3094" Type="http://schemas.openxmlformats.org/officeDocument/2006/relationships/hyperlink" Target="https://en.wikipedia.org/wiki/Missouri" TargetMode="External"/><Relationship Id="rId3093" Type="http://schemas.openxmlformats.org/officeDocument/2006/relationships/hyperlink" Target="https://en.wikipedia.org/wiki/Madison_County,_Missouri" TargetMode="External"/><Relationship Id="rId3096" Type="http://schemas.openxmlformats.org/officeDocument/2006/relationships/hyperlink" Target="https://en.wikipedia.org/wiki/Missouri" TargetMode="External"/><Relationship Id="rId3095" Type="http://schemas.openxmlformats.org/officeDocument/2006/relationships/hyperlink" Target="https://en.wikipedia.org/wiki/Maries_County,_Missouri" TargetMode="External"/><Relationship Id="rId3098" Type="http://schemas.openxmlformats.org/officeDocument/2006/relationships/hyperlink" Target="https://en.wikipedia.org/wiki/Missouri" TargetMode="External"/><Relationship Id="rId3097" Type="http://schemas.openxmlformats.org/officeDocument/2006/relationships/hyperlink" Target="https://en.wikipedia.org/wiki/Marion_County,_Missouri" TargetMode="External"/><Relationship Id="rId3099" Type="http://schemas.openxmlformats.org/officeDocument/2006/relationships/hyperlink" Target="https://en.wikipedia.org/wiki/Mercer_County,_Missouri" TargetMode="External"/><Relationship Id="rId3081" Type="http://schemas.openxmlformats.org/officeDocument/2006/relationships/hyperlink" Target="https://en.wikipedia.org/wiki/Lewis_County,_Missouri" TargetMode="External"/><Relationship Id="rId3080" Type="http://schemas.openxmlformats.org/officeDocument/2006/relationships/hyperlink" Target="https://en.wikipedia.org/wiki/Missouri" TargetMode="External"/><Relationship Id="rId3083" Type="http://schemas.openxmlformats.org/officeDocument/2006/relationships/hyperlink" Target="https://en.wikipedia.org/wiki/Lincoln_County,_Missouri" TargetMode="External"/><Relationship Id="rId3082" Type="http://schemas.openxmlformats.org/officeDocument/2006/relationships/hyperlink" Target="https://en.wikipedia.org/wiki/Missouri" TargetMode="External"/><Relationship Id="rId3085" Type="http://schemas.openxmlformats.org/officeDocument/2006/relationships/hyperlink" Target="https://en.wikipedia.org/wiki/Linn_County,_Missouri" TargetMode="External"/><Relationship Id="rId3084" Type="http://schemas.openxmlformats.org/officeDocument/2006/relationships/hyperlink" Target="https://en.wikipedia.org/wiki/Missouri" TargetMode="External"/><Relationship Id="rId3087" Type="http://schemas.openxmlformats.org/officeDocument/2006/relationships/hyperlink" Target="https://en.wikipedia.org/wiki/Livingston_County,_Missouri" TargetMode="External"/><Relationship Id="rId3086" Type="http://schemas.openxmlformats.org/officeDocument/2006/relationships/hyperlink" Target="https://en.wikipedia.org/wiki/Missouri" TargetMode="External"/><Relationship Id="rId3089" Type="http://schemas.openxmlformats.org/officeDocument/2006/relationships/hyperlink" Target="https://en.wikipedia.org/wiki/McDonald_County,_Missouri" TargetMode="External"/><Relationship Id="rId3088" Type="http://schemas.openxmlformats.org/officeDocument/2006/relationships/hyperlink" Target="https://en.wikipedia.org/wiki/Missouri" TargetMode="External"/><Relationship Id="rId3039" Type="http://schemas.openxmlformats.org/officeDocument/2006/relationships/hyperlink" Target="https://en.wikipedia.org/wiki/Dunklin_County,_Missouri" TargetMode="External"/><Relationship Id="rId5691" Type="http://schemas.openxmlformats.org/officeDocument/2006/relationships/hyperlink" Target="https://en.wikipedia.org/wiki/Culpeper_County,_Virginia" TargetMode="External"/><Relationship Id="rId5692" Type="http://schemas.openxmlformats.org/officeDocument/2006/relationships/hyperlink" Target="https://en.wikipedia.org/wiki/Virginia" TargetMode="External"/><Relationship Id="rId3030" Type="http://schemas.openxmlformats.org/officeDocument/2006/relationships/hyperlink" Target="https://en.wikipedia.org/wiki/Missouri" TargetMode="External"/><Relationship Id="rId4361" Type="http://schemas.openxmlformats.org/officeDocument/2006/relationships/hyperlink" Target="https://en.wikipedia.org/wiki/Marshall_County,_Oklahoma" TargetMode="External"/><Relationship Id="rId4360" Type="http://schemas.openxmlformats.org/officeDocument/2006/relationships/hyperlink" Target="https://en.wikipedia.org/wiki/Oklahoma" TargetMode="External"/><Relationship Id="rId5690" Type="http://schemas.openxmlformats.org/officeDocument/2006/relationships/hyperlink" Target="https://en.wikipedia.org/wiki/Virginia" TargetMode="External"/><Relationship Id="rId3032" Type="http://schemas.openxmlformats.org/officeDocument/2006/relationships/hyperlink" Target="https://en.wikipedia.org/wiki/Missouri" TargetMode="External"/><Relationship Id="rId4363" Type="http://schemas.openxmlformats.org/officeDocument/2006/relationships/hyperlink" Target="https://en.wikipedia.org/wiki/Mayes_County,_Oklahoma" TargetMode="External"/><Relationship Id="rId5695" Type="http://schemas.openxmlformats.org/officeDocument/2006/relationships/hyperlink" Target="https://en.wikipedia.org/wiki/Dickenson_County,_Virginia" TargetMode="External"/><Relationship Id="rId3031" Type="http://schemas.openxmlformats.org/officeDocument/2006/relationships/hyperlink" Target="https://en.wikipedia.org/wiki/Daviess_County,_Missouri" TargetMode="External"/><Relationship Id="rId4362" Type="http://schemas.openxmlformats.org/officeDocument/2006/relationships/hyperlink" Target="https://en.wikipedia.org/wiki/Oklahoma" TargetMode="External"/><Relationship Id="rId5696" Type="http://schemas.openxmlformats.org/officeDocument/2006/relationships/hyperlink" Target="https://en.wikipedia.org/wiki/Virginia" TargetMode="External"/><Relationship Id="rId3034" Type="http://schemas.openxmlformats.org/officeDocument/2006/relationships/hyperlink" Target="https://en.wikipedia.org/wiki/Missouri" TargetMode="External"/><Relationship Id="rId4365" Type="http://schemas.openxmlformats.org/officeDocument/2006/relationships/hyperlink" Target="https://en.wikipedia.org/wiki/Murray_County,_Oklahoma" TargetMode="External"/><Relationship Id="rId5693" Type="http://schemas.openxmlformats.org/officeDocument/2006/relationships/hyperlink" Target="https://en.wikipedia.org/wiki/Cumberland_County,_Virginia" TargetMode="External"/><Relationship Id="rId3033" Type="http://schemas.openxmlformats.org/officeDocument/2006/relationships/hyperlink" Target="https://en.wikipedia.org/wiki/DeKalb_County,_Missouri" TargetMode="External"/><Relationship Id="rId4364" Type="http://schemas.openxmlformats.org/officeDocument/2006/relationships/hyperlink" Target="https://en.wikipedia.org/wiki/Oklahoma" TargetMode="External"/><Relationship Id="rId5694" Type="http://schemas.openxmlformats.org/officeDocument/2006/relationships/hyperlink" Target="https://en.wikipedia.org/wiki/Virginia" TargetMode="External"/><Relationship Id="rId3036" Type="http://schemas.openxmlformats.org/officeDocument/2006/relationships/hyperlink" Target="https://en.wikipedia.org/wiki/Missouri" TargetMode="External"/><Relationship Id="rId4367" Type="http://schemas.openxmlformats.org/officeDocument/2006/relationships/hyperlink" Target="https://en.wikipedia.org/wiki/Muskogee_County,_Oklahoma" TargetMode="External"/><Relationship Id="rId5699" Type="http://schemas.openxmlformats.org/officeDocument/2006/relationships/hyperlink" Target="https://en.wikipedia.org/wiki/Essex_County,_Virginia" TargetMode="External"/><Relationship Id="rId3035" Type="http://schemas.openxmlformats.org/officeDocument/2006/relationships/hyperlink" Target="https://en.wikipedia.org/wiki/Dent_County,_Missouri" TargetMode="External"/><Relationship Id="rId4366" Type="http://schemas.openxmlformats.org/officeDocument/2006/relationships/hyperlink" Target="https://en.wikipedia.org/wiki/Oklahoma" TargetMode="External"/><Relationship Id="rId3038" Type="http://schemas.openxmlformats.org/officeDocument/2006/relationships/hyperlink" Target="https://en.wikipedia.org/wiki/Missouri" TargetMode="External"/><Relationship Id="rId4369" Type="http://schemas.openxmlformats.org/officeDocument/2006/relationships/hyperlink" Target="https://en.wikipedia.org/wiki/Noble_County,_Oklahoma" TargetMode="External"/><Relationship Id="rId5697" Type="http://schemas.openxmlformats.org/officeDocument/2006/relationships/hyperlink" Target="https://en.wikipedia.org/wiki/Dinwiddie_County,_Virginia" TargetMode="External"/><Relationship Id="rId3037" Type="http://schemas.openxmlformats.org/officeDocument/2006/relationships/hyperlink" Target="https://en.wikipedia.org/wiki/Douglas_County,_Missouri" TargetMode="External"/><Relationship Id="rId4368" Type="http://schemas.openxmlformats.org/officeDocument/2006/relationships/hyperlink" Target="https://en.wikipedia.org/wiki/Oklahoma" TargetMode="External"/><Relationship Id="rId5698" Type="http://schemas.openxmlformats.org/officeDocument/2006/relationships/hyperlink" Target="https://en.wikipedia.org/wiki/Virginia" TargetMode="External"/><Relationship Id="rId3029" Type="http://schemas.openxmlformats.org/officeDocument/2006/relationships/hyperlink" Target="https://en.wikipedia.org/wiki/Dallas_County,_Missouri" TargetMode="External"/><Relationship Id="rId3028" Type="http://schemas.openxmlformats.org/officeDocument/2006/relationships/hyperlink" Target="https://en.wikipedia.org/wiki/Missouri" TargetMode="External"/><Relationship Id="rId4359" Type="http://schemas.openxmlformats.org/officeDocument/2006/relationships/hyperlink" Target="https://en.wikipedia.org/wiki/Major_County,_Oklahoma" TargetMode="External"/><Relationship Id="rId5680" Type="http://schemas.openxmlformats.org/officeDocument/2006/relationships/hyperlink" Target="https://en.wikipedia.org/wiki/Virginia" TargetMode="External"/><Relationship Id="rId5681" Type="http://schemas.openxmlformats.org/officeDocument/2006/relationships/hyperlink" Target="https://en.wikipedia.org/wiki/Charles_City_County,_Virginia" TargetMode="External"/><Relationship Id="rId4350" Type="http://schemas.openxmlformats.org/officeDocument/2006/relationships/hyperlink" Target="https://en.wikipedia.org/wiki/Oklahoma" TargetMode="External"/><Relationship Id="rId3021" Type="http://schemas.openxmlformats.org/officeDocument/2006/relationships/hyperlink" Target="https://en.wikipedia.org/wiki/Cole_County,_Missouri" TargetMode="External"/><Relationship Id="rId4352" Type="http://schemas.openxmlformats.org/officeDocument/2006/relationships/hyperlink" Target="https://en.wikipedia.org/wiki/Oklahoma" TargetMode="External"/><Relationship Id="rId5684" Type="http://schemas.openxmlformats.org/officeDocument/2006/relationships/hyperlink" Target="https://en.wikipedia.org/wiki/Virginia" TargetMode="External"/><Relationship Id="rId3020" Type="http://schemas.openxmlformats.org/officeDocument/2006/relationships/hyperlink" Target="https://en.wikipedia.org/wiki/Missouri" TargetMode="External"/><Relationship Id="rId4351" Type="http://schemas.openxmlformats.org/officeDocument/2006/relationships/hyperlink" Target="https://en.wikipedia.org/wiki/Love_County,_Oklahoma" TargetMode="External"/><Relationship Id="rId5685" Type="http://schemas.openxmlformats.org/officeDocument/2006/relationships/hyperlink" Target="https://en.wikipedia.org/wiki/Chesterfield_County,_Virginia" TargetMode="External"/><Relationship Id="rId3023" Type="http://schemas.openxmlformats.org/officeDocument/2006/relationships/hyperlink" Target="https://en.wikipedia.org/wiki/Cooper_County,_Missouri" TargetMode="External"/><Relationship Id="rId4354" Type="http://schemas.openxmlformats.org/officeDocument/2006/relationships/hyperlink" Target="https://en.wikipedia.org/wiki/Oklahoma" TargetMode="External"/><Relationship Id="rId5682" Type="http://schemas.openxmlformats.org/officeDocument/2006/relationships/hyperlink" Target="https://en.wikipedia.org/wiki/Virginia" TargetMode="External"/><Relationship Id="rId3022" Type="http://schemas.openxmlformats.org/officeDocument/2006/relationships/hyperlink" Target="https://en.wikipedia.org/wiki/Missouri" TargetMode="External"/><Relationship Id="rId4353" Type="http://schemas.openxmlformats.org/officeDocument/2006/relationships/hyperlink" Target="https://en.wikipedia.org/wiki/McClain_County,_Oklahoma" TargetMode="External"/><Relationship Id="rId5683" Type="http://schemas.openxmlformats.org/officeDocument/2006/relationships/hyperlink" Target="https://en.wikipedia.org/wiki/Charlotte_County,_Virginia" TargetMode="External"/><Relationship Id="rId3025" Type="http://schemas.openxmlformats.org/officeDocument/2006/relationships/hyperlink" Target="https://en.wikipedia.org/wiki/Crawford_County,_Missouri" TargetMode="External"/><Relationship Id="rId4356" Type="http://schemas.openxmlformats.org/officeDocument/2006/relationships/hyperlink" Target="https://en.wikipedia.org/wiki/Oklahoma" TargetMode="External"/><Relationship Id="rId5688" Type="http://schemas.openxmlformats.org/officeDocument/2006/relationships/hyperlink" Target="https://en.wikipedia.org/wiki/Virginia" TargetMode="External"/><Relationship Id="rId3024" Type="http://schemas.openxmlformats.org/officeDocument/2006/relationships/hyperlink" Target="https://en.wikipedia.org/wiki/Missouri" TargetMode="External"/><Relationship Id="rId4355" Type="http://schemas.openxmlformats.org/officeDocument/2006/relationships/hyperlink" Target="https://en.wikipedia.org/wiki/McCurtain_County,_Oklahoma" TargetMode="External"/><Relationship Id="rId5689" Type="http://schemas.openxmlformats.org/officeDocument/2006/relationships/hyperlink" Target="https://en.wikipedia.org/wiki/Craig_County,_Virginia" TargetMode="External"/><Relationship Id="rId3027" Type="http://schemas.openxmlformats.org/officeDocument/2006/relationships/hyperlink" Target="https://en.wikipedia.org/wiki/Dade_County,_Missouri" TargetMode="External"/><Relationship Id="rId4358" Type="http://schemas.openxmlformats.org/officeDocument/2006/relationships/hyperlink" Target="https://en.wikipedia.org/wiki/Oklahoma" TargetMode="External"/><Relationship Id="rId5686" Type="http://schemas.openxmlformats.org/officeDocument/2006/relationships/hyperlink" Target="https://en.wikipedia.org/wiki/Virginia" TargetMode="External"/><Relationship Id="rId3026" Type="http://schemas.openxmlformats.org/officeDocument/2006/relationships/hyperlink" Target="https://en.wikipedia.org/wiki/Missouri" TargetMode="External"/><Relationship Id="rId4357" Type="http://schemas.openxmlformats.org/officeDocument/2006/relationships/hyperlink" Target="https://en.wikipedia.org/wiki/McIntosh_County,_Oklahoma" TargetMode="External"/><Relationship Id="rId5687" Type="http://schemas.openxmlformats.org/officeDocument/2006/relationships/hyperlink" Target="https://en.wikipedia.org/wiki/Clarke_County,_Virginia" TargetMode="External"/><Relationship Id="rId3050" Type="http://schemas.openxmlformats.org/officeDocument/2006/relationships/hyperlink" Target="https://en.wikipedia.org/wiki/Missouri" TargetMode="External"/><Relationship Id="rId4381" Type="http://schemas.openxmlformats.org/officeDocument/2006/relationships/hyperlink" Target="https://en.wikipedia.org/wiki/Ottawa_County,_Oklahoma" TargetMode="External"/><Relationship Id="rId4380" Type="http://schemas.openxmlformats.org/officeDocument/2006/relationships/hyperlink" Target="https://en.wikipedia.org/wiki/Oklahoma" TargetMode="External"/><Relationship Id="rId3052" Type="http://schemas.openxmlformats.org/officeDocument/2006/relationships/hyperlink" Target="https://en.wikipedia.org/wiki/Missouri" TargetMode="External"/><Relationship Id="rId4383" Type="http://schemas.openxmlformats.org/officeDocument/2006/relationships/hyperlink" Target="https://en.wikipedia.org/wiki/Pawnee_County,_Oklahoma" TargetMode="External"/><Relationship Id="rId3051" Type="http://schemas.openxmlformats.org/officeDocument/2006/relationships/hyperlink" Target="https://en.wikipedia.org/wiki/Harrison_County,_Missouri" TargetMode="External"/><Relationship Id="rId4382" Type="http://schemas.openxmlformats.org/officeDocument/2006/relationships/hyperlink" Target="https://en.wikipedia.org/wiki/Oklahoma" TargetMode="External"/><Relationship Id="rId3054" Type="http://schemas.openxmlformats.org/officeDocument/2006/relationships/hyperlink" Target="https://en.wikipedia.org/wiki/Missouri" TargetMode="External"/><Relationship Id="rId4385" Type="http://schemas.openxmlformats.org/officeDocument/2006/relationships/hyperlink" Target="https://en.wikipedia.org/wiki/Payne_County,_Oklahoma" TargetMode="External"/><Relationship Id="rId3053" Type="http://schemas.openxmlformats.org/officeDocument/2006/relationships/hyperlink" Target="https://en.wikipedia.org/wiki/Henry_County,_Missouri" TargetMode="External"/><Relationship Id="rId4384" Type="http://schemas.openxmlformats.org/officeDocument/2006/relationships/hyperlink" Target="https://en.wikipedia.org/wiki/Oklahoma" TargetMode="External"/><Relationship Id="rId3056" Type="http://schemas.openxmlformats.org/officeDocument/2006/relationships/hyperlink" Target="https://en.wikipedia.org/wiki/Missouri" TargetMode="External"/><Relationship Id="rId4387" Type="http://schemas.openxmlformats.org/officeDocument/2006/relationships/hyperlink" Target="https://en.wikipedia.org/wiki/Pittsburg_County,_Oklahoma" TargetMode="External"/><Relationship Id="rId3055" Type="http://schemas.openxmlformats.org/officeDocument/2006/relationships/hyperlink" Target="https://en.wikipedia.org/wiki/Hickory_County,_Missouri" TargetMode="External"/><Relationship Id="rId4386" Type="http://schemas.openxmlformats.org/officeDocument/2006/relationships/hyperlink" Target="https://en.wikipedia.org/wiki/Oklahoma" TargetMode="External"/><Relationship Id="rId3058" Type="http://schemas.openxmlformats.org/officeDocument/2006/relationships/hyperlink" Target="https://en.wikipedia.org/wiki/Missouri" TargetMode="External"/><Relationship Id="rId4389" Type="http://schemas.openxmlformats.org/officeDocument/2006/relationships/hyperlink" Target="https://en.wikipedia.org/wiki/Pontotoc_County,_Oklahoma" TargetMode="External"/><Relationship Id="rId3057" Type="http://schemas.openxmlformats.org/officeDocument/2006/relationships/hyperlink" Target="https://en.wikipedia.org/wiki/Holt_County,_Missouri" TargetMode="External"/><Relationship Id="rId4388" Type="http://schemas.openxmlformats.org/officeDocument/2006/relationships/hyperlink" Target="https://en.wikipedia.org/wiki/Oklahoma" TargetMode="External"/><Relationship Id="rId3059" Type="http://schemas.openxmlformats.org/officeDocument/2006/relationships/hyperlink" Target="https://en.wikipedia.org/wiki/Howard_County,_Missouri" TargetMode="External"/><Relationship Id="rId4370" Type="http://schemas.openxmlformats.org/officeDocument/2006/relationships/hyperlink" Target="https://en.wikipedia.org/wiki/Oklahoma" TargetMode="External"/><Relationship Id="rId3041" Type="http://schemas.openxmlformats.org/officeDocument/2006/relationships/hyperlink" Target="https://en.wikipedia.org/wiki/Franklin_County,_Missouri" TargetMode="External"/><Relationship Id="rId4372" Type="http://schemas.openxmlformats.org/officeDocument/2006/relationships/hyperlink" Target="https://en.wikipedia.org/wiki/Oklahoma" TargetMode="External"/><Relationship Id="rId3040" Type="http://schemas.openxmlformats.org/officeDocument/2006/relationships/hyperlink" Target="https://en.wikipedia.org/wiki/Missouri" TargetMode="External"/><Relationship Id="rId4371" Type="http://schemas.openxmlformats.org/officeDocument/2006/relationships/hyperlink" Target="https://en.wikipedia.org/wiki/Nowata_County,_Oklahoma" TargetMode="External"/><Relationship Id="rId3043" Type="http://schemas.openxmlformats.org/officeDocument/2006/relationships/hyperlink" Target="https://en.wikipedia.org/wiki/Gasconade_County,_Missouri" TargetMode="External"/><Relationship Id="rId4374" Type="http://schemas.openxmlformats.org/officeDocument/2006/relationships/hyperlink" Target="https://en.wikipedia.org/wiki/Oklahoma" TargetMode="External"/><Relationship Id="rId3042" Type="http://schemas.openxmlformats.org/officeDocument/2006/relationships/hyperlink" Target="https://en.wikipedia.org/wiki/Missouri" TargetMode="External"/><Relationship Id="rId4373" Type="http://schemas.openxmlformats.org/officeDocument/2006/relationships/hyperlink" Target="https://en.wikipedia.org/wiki/Okfuskee_County,_Oklahoma" TargetMode="External"/><Relationship Id="rId3045" Type="http://schemas.openxmlformats.org/officeDocument/2006/relationships/hyperlink" Target="https://en.wikipedia.org/wiki/Gentry_County,_Missouri" TargetMode="External"/><Relationship Id="rId4376" Type="http://schemas.openxmlformats.org/officeDocument/2006/relationships/hyperlink" Target="https://en.wikipedia.org/wiki/Oklahoma" TargetMode="External"/><Relationship Id="rId3044" Type="http://schemas.openxmlformats.org/officeDocument/2006/relationships/hyperlink" Target="https://en.wikipedia.org/wiki/Missouri" TargetMode="External"/><Relationship Id="rId4375" Type="http://schemas.openxmlformats.org/officeDocument/2006/relationships/hyperlink" Target="https://en.wikipedia.org/wiki/Oklahoma_County,_Oklahoma" TargetMode="External"/><Relationship Id="rId3047" Type="http://schemas.openxmlformats.org/officeDocument/2006/relationships/hyperlink" Target="https://en.wikipedia.org/wiki/Greene_County,_Missouri" TargetMode="External"/><Relationship Id="rId4378" Type="http://schemas.openxmlformats.org/officeDocument/2006/relationships/hyperlink" Target="https://en.wikipedia.org/wiki/Oklahoma" TargetMode="External"/><Relationship Id="rId3046" Type="http://schemas.openxmlformats.org/officeDocument/2006/relationships/hyperlink" Target="https://en.wikipedia.org/wiki/Missouri" TargetMode="External"/><Relationship Id="rId4377" Type="http://schemas.openxmlformats.org/officeDocument/2006/relationships/hyperlink" Target="https://en.wikipedia.org/wiki/Okmulgee_County,_Oklahoma" TargetMode="External"/><Relationship Id="rId3049" Type="http://schemas.openxmlformats.org/officeDocument/2006/relationships/hyperlink" Target="https://en.wikipedia.org/wiki/Grundy_County,_Missouri" TargetMode="External"/><Relationship Id="rId3048" Type="http://schemas.openxmlformats.org/officeDocument/2006/relationships/hyperlink" Target="https://en.wikipedia.org/wiki/Missouri" TargetMode="External"/><Relationship Id="rId4379" Type="http://schemas.openxmlformats.org/officeDocument/2006/relationships/hyperlink" Target="https://en.wikipedia.org/wiki/Osage_County,_Oklahoma" TargetMode="External"/><Relationship Id="rId5714" Type="http://schemas.openxmlformats.org/officeDocument/2006/relationships/hyperlink" Target="https://en.wikipedia.org/wiki/Virginia" TargetMode="External"/><Relationship Id="rId5715" Type="http://schemas.openxmlformats.org/officeDocument/2006/relationships/hyperlink" Target="https://en.wikipedia.org/wiki/Gloucester_County,_Virginia" TargetMode="External"/><Relationship Id="rId5712" Type="http://schemas.openxmlformats.org/officeDocument/2006/relationships/hyperlink" Target="https://en.wikipedia.org/wiki/Virginia" TargetMode="External"/><Relationship Id="rId5713" Type="http://schemas.openxmlformats.org/officeDocument/2006/relationships/hyperlink" Target="https://en.wikipedia.org/wiki/Giles_County,_Virginia" TargetMode="External"/><Relationship Id="rId5718" Type="http://schemas.openxmlformats.org/officeDocument/2006/relationships/hyperlink" Target="https://en.wikipedia.org/wiki/Virginia" TargetMode="External"/><Relationship Id="rId5719" Type="http://schemas.openxmlformats.org/officeDocument/2006/relationships/hyperlink" Target="https://en.wikipedia.org/wiki/Grayson_County,_Virginia" TargetMode="External"/><Relationship Id="rId5716" Type="http://schemas.openxmlformats.org/officeDocument/2006/relationships/hyperlink" Target="https://en.wikipedia.org/wiki/Virginia" TargetMode="External"/><Relationship Id="rId5717" Type="http://schemas.openxmlformats.org/officeDocument/2006/relationships/hyperlink" Target="https://en.wikipedia.org/wiki/Goochland_County,_Virginia" TargetMode="External"/><Relationship Id="rId5710" Type="http://schemas.openxmlformats.org/officeDocument/2006/relationships/hyperlink" Target="https://en.wikipedia.org/wiki/Virginia" TargetMode="External"/><Relationship Id="rId5711" Type="http://schemas.openxmlformats.org/officeDocument/2006/relationships/hyperlink" Target="https://en.wikipedia.org/wiki/Frederick_County,_Virginia" TargetMode="External"/><Relationship Id="rId5703" Type="http://schemas.openxmlformats.org/officeDocument/2006/relationships/hyperlink" Target="https://en.wikipedia.org/wiki/Fauquier_County,_Virginia" TargetMode="External"/><Relationship Id="rId5704" Type="http://schemas.openxmlformats.org/officeDocument/2006/relationships/hyperlink" Target="https://en.wikipedia.org/wiki/Virginia" TargetMode="External"/><Relationship Id="rId5701" Type="http://schemas.openxmlformats.org/officeDocument/2006/relationships/hyperlink" Target="https://en.wikipedia.org/wiki/Fairfax_County,_Virginia" TargetMode="External"/><Relationship Id="rId5702" Type="http://schemas.openxmlformats.org/officeDocument/2006/relationships/hyperlink" Target="https://en.wikipedia.org/wiki/Virginia" TargetMode="External"/><Relationship Id="rId5707" Type="http://schemas.openxmlformats.org/officeDocument/2006/relationships/hyperlink" Target="https://en.wikipedia.org/wiki/Fluvanna_County,_Virginia" TargetMode="External"/><Relationship Id="rId5708" Type="http://schemas.openxmlformats.org/officeDocument/2006/relationships/hyperlink" Target="https://en.wikipedia.org/wiki/Virginia" TargetMode="External"/><Relationship Id="rId5705" Type="http://schemas.openxmlformats.org/officeDocument/2006/relationships/hyperlink" Target="https://en.wikipedia.org/wiki/Floyd_County,_Virginia" TargetMode="External"/><Relationship Id="rId5706" Type="http://schemas.openxmlformats.org/officeDocument/2006/relationships/hyperlink" Target="https://en.wikipedia.org/wiki/Virginia" TargetMode="External"/><Relationship Id="rId5709" Type="http://schemas.openxmlformats.org/officeDocument/2006/relationships/hyperlink" Target="https://en.wikipedia.org/wiki/Franklin_County,_Virginia" TargetMode="External"/><Relationship Id="rId5700" Type="http://schemas.openxmlformats.org/officeDocument/2006/relationships/hyperlink" Target="https://en.wikipedia.org/wiki/Virginia" TargetMode="External"/><Relationship Id="rId3117" Type="http://schemas.openxmlformats.org/officeDocument/2006/relationships/hyperlink" Target="https://en.wikipedia.org/wiki/Nodaway_County,_Missouri" TargetMode="External"/><Relationship Id="rId4448" Type="http://schemas.openxmlformats.org/officeDocument/2006/relationships/hyperlink" Target="https://en.wikipedia.org/wiki/Oregon" TargetMode="External"/><Relationship Id="rId3116" Type="http://schemas.openxmlformats.org/officeDocument/2006/relationships/hyperlink" Target="https://en.wikipedia.org/wiki/Missouri" TargetMode="External"/><Relationship Id="rId4447" Type="http://schemas.openxmlformats.org/officeDocument/2006/relationships/hyperlink" Target="https://en.wikipedia.org/wiki/Hood_River_County,_Oregon" TargetMode="External"/><Relationship Id="rId3119" Type="http://schemas.openxmlformats.org/officeDocument/2006/relationships/hyperlink" Target="https://en.wikipedia.org/wiki/Oregon_County,_Missouri" TargetMode="External"/><Relationship Id="rId5778" Type="http://schemas.openxmlformats.org/officeDocument/2006/relationships/hyperlink" Target="https://en.wikipedia.org/wiki/Virginia" TargetMode="External"/><Relationship Id="rId3118" Type="http://schemas.openxmlformats.org/officeDocument/2006/relationships/hyperlink" Target="https://en.wikipedia.org/wiki/Missouri" TargetMode="External"/><Relationship Id="rId4449" Type="http://schemas.openxmlformats.org/officeDocument/2006/relationships/hyperlink" Target="https://en.wikipedia.org/wiki/Jackson_County,_Oregon" TargetMode="External"/><Relationship Id="rId5779" Type="http://schemas.openxmlformats.org/officeDocument/2006/relationships/hyperlink" Target="https://en.wikipedia.org/wiki/Patrick_County,_Virginia" TargetMode="External"/><Relationship Id="rId4440" Type="http://schemas.openxmlformats.org/officeDocument/2006/relationships/hyperlink" Target="https://en.wikipedia.org/wiki/Oregon" TargetMode="External"/><Relationship Id="rId5772" Type="http://schemas.openxmlformats.org/officeDocument/2006/relationships/hyperlink" Target="https://en.wikipedia.org/wiki/Virginia" TargetMode="External"/><Relationship Id="rId5773" Type="http://schemas.openxmlformats.org/officeDocument/2006/relationships/hyperlink" Target="https://en.wikipedia.org/wiki/Nottoway_County,_Virginia" TargetMode="External"/><Relationship Id="rId3111" Type="http://schemas.openxmlformats.org/officeDocument/2006/relationships/hyperlink" Target="https://en.wikipedia.org/wiki/Morgan_County,_Missouri" TargetMode="External"/><Relationship Id="rId4442" Type="http://schemas.openxmlformats.org/officeDocument/2006/relationships/hyperlink" Target="https://en.wikipedia.org/wiki/Oregon" TargetMode="External"/><Relationship Id="rId5770" Type="http://schemas.openxmlformats.org/officeDocument/2006/relationships/hyperlink" Target="https://en.wikipedia.org/wiki/Virginia" TargetMode="External"/><Relationship Id="rId3110" Type="http://schemas.openxmlformats.org/officeDocument/2006/relationships/hyperlink" Target="https://en.wikipedia.org/wiki/Missouri" TargetMode="External"/><Relationship Id="rId4441" Type="http://schemas.openxmlformats.org/officeDocument/2006/relationships/hyperlink" Target="https://en.wikipedia.org/wiki/Gilliam_County,_Oregon" TargetMode="External"/><Relationship Id="rId5771" Type="http://schemas.openxmlformats.org/officeDocument/2006/relationships/hyperlink" Target="https://en.wikipedia.org/wiki/Northumberland_County,_Virginia" TargetMode="External"/><Relationship Id="rId3113" Type="http://schemas.openxmlformats.org/officeDocument/2006/relationships/hyperlink" Target="https://en.wikipedia.org/wiki/New_Madrid_County,_Missouri" TargetMode="External"/><Relationship Id="rId4444" Type="http://schemas.openxmlformats.org/officeDocument/2006/relationships/hyperlink" Target="https://en.wikipedia.org/wiki/Oregon" TargetMode="External"/><Relationship Id="rId5776" Type="http://schemas.openxmlformats.org/officeDocument/2006/relationships/hyperlink" Target="https://en.wikipedia.org/wiki/Virginia" TargetMode="External"/><Relationship Id="rId3112" Type="http://schemas.openxmlformats.org/officeDocument/2006/relationships/hyperlink" Target="https://en.wikipedia.org/wiki/Missouri" TargetMode="External"/><Relationship Id="rId4443" Type="http://schemas.openxmlformats.org/officeDocument/2006/relationships/hyperlink" Target="https://en.wikipedia.org/wiki/Grant_County,_Oregon" TargetMode="External"/><Relationship Id="rId5777" Type="http://schemas.openxmlformats.org/officeDocument/2006/relationships/hyperlink" Target="https://en.wikipedia.org/wiki/Page_County,_Virginia" TargetMode="External"/><Relationship Id="rId3115" Type="http://schemas.openxmlformats.org/officeDocument/2006/relationships/hyperlink" Target="https://en.wikipedia.org/wiki/Newton_County,_Missouri" TargetMode="External"/><Relationship Id="rId4446" Type="http://schemas.openxmlformats.org/officeDocument/2006/relationships/hyperlink" Target="https://en.wikipedia.org/wiki/Oregon" TargetMode="External"/><Relationship Id="rId5774" Type="http://schemas.openxmlformats.org/officeDocument/2006/relationships/hyperlink" Target="https://en.wikipedia.org/wiki/Virginia" TargetMode="External"/><Relationship Id="rId3114" Type="http://schemas.openxmlformats.org/officeDocument/2006/relationships/hyperlink" Target="https://en.wikipedia.org/wiki/Missouri" TargetMode="External"/><Relationship Id="rId4445" Type="http://schemas.openxmlformats.org/officeDocument/2006/relationships/hyperlink" Target="https://en.wikipedia.org/wiki/Harney_County,_Oregon" TargetMode="External"/><Relationship Id="rId5775" Type="http://schemas.openxmlformats.org/officeDocument/2006/relationships/hyperlink" Target="https://en.wikipedia.org/wiki/Orange_County,_Virginia" TargetMode="External"/><Relationship Id="rId3106" Type="http://schemas.openxmlformats.org/officeDocument/2006/relationships/hyperlink" Target="https://en.wikipedia.org/wiki/Missouri" TargetMode="External"/><Relationship Id="rId4437" Type="http://schemas.openxmlformats.org/officeDocument/2006/relationships/hyperlink" Target="https://en.wikipedia.org/wiki/Deschutes_County,_Oregon" TargetMode="External"/><Relationship Id="rId5769" Type="http://schemas.openxmlformats.org/officeDocument/2006/relationships/hyperlink" Target="https://en.wikipedia.org/wiki/Northampton_County,_Virginia" TargetMode="External"/><Relationship Id="rId3105" Type="http://schemas.openxmlformats.org/officeDocument/2006/relationships/hyperlink" Target="https://en.wikipedia.org/wiki/Moniteau_County,_Missouri" TargetMode="External"/><Relationship Id="rId4436" Type="http://schemas.openxmlformats.org/officeDocument/2006/relationships/hyperlink" Target="https://en.wikipedia.org/wiki/Oregon" TargetMode="External"/><Relationship Id="rId3108" Type="http://schemas.openxmlformats.org/officeDocument/2006/relationships/hyperlink" Target="https://en.wikipedia.org/wiki/Missouri" TargetMode="External"/><Relationship Id="rId4439" Type="http://schemas.openxmlformats.org/officeDocument/2006/relationships/hyperlink" Target="https://en.wikipedia.org/wiki/Douglas_County,_Oregon" TargetMode="External"/><Relationship Id="rId5767" Type="http://schemas.openxmlformats.org/officeDocument/2006/relationships/hyperlink" Target="https://en.wikipedia.org/wiki/New_Kent_County,_Virginia" TargetMode="External"/><Relationship Id="rId3107" Type="http://schemas.openxmlformats.org/officeDocument/2006/relationships/hyperlink" Target="https://en.wikipedia.org/wiki/Monroe_County,_Missouri" TargetMode="External"/><Relationship Id="rId4438" Type="http://schemas.openxmlformats.org/officeDocument/2006/relationships/hyperlink" Target="https://en.wikipedia.org/wiki/Oregon" TargetMode="External"/><Relationship Id="rId5768" Type="http://schemas.openxmlformats.org/officeDocument/2006/relationships/hyperlink" Target="https://en.wikipedia.org/wiki/Virginia" TargetMode="External"/><Relationship Id="rId3109" Type="http://schemas.openxmlformats.org/officeDocument/2006/relationships/hyperlink" Target="https://en.wikipedia.org/wiki/Montgomery_County,_Missouri" TargetMode="External"/><Relationship Id="rId5761" Type="http://schemas.openxmlformats.org/officeDocument/2006/relationships/hyperlink" Target="https://en.wikipedia.org/wiki/Middlesex_County,_Virginia" TargetMode="External"/><Relationship Id="rId5762" Type="http://schemas.openxmlformats.org/officeDocument/2006/relationships/hyperlink" Target="https://en.wikipedia.org/wiki/Virginia" TargetMode="External"/><Relationship Id="rId3100" Type="http://schemas.openxmlformats.org/officeDocument/2006/relationships/hyperlink" Target="https://en.wikipedia.org/wiki/Missouri" TargetMode="External"/><Relationship Id="rId4431" Type="http://schemas.openxmlformats.org/officeDocument/2006/relationships/hyperlink" Target="https://en.wikipedia.org/wiki/Coos_County,_Oregon" TargetMode="External"/><Relationship Id="rId4430" Type="http://schemas.openxmlformats.org/officeDocument/2006/relationships/hyperlink" Target="https://en.wikipedia.org/wiki/Oregon" TargetMode="External"/><Relationship Id="rId5760" Type="http://schemas.openxmlformats.org/officeDocument/2006/relationships/hyperlink" Target="https://en.wikipedia.org/wiki/Virginia" TargetMode="External"/><Relationship Id="rId3102" Type="http://schemas.openxmlformats.org/officeDocument/2006/relationships/hyperlink" Target="https://en.wikipedia.org/wiki/Missouri" TargetMode="External"/><Relationship Id="rId4433" Type="http://schemas.openxmlformats.org/officeDocument/2006/relationships/hyperlink" Target="https://en.wikipedia.org/wiki/Crook_County,_Oregon" TargetMode="External"/><Relationship Id="rId5765" Type="http://schemas.openxmlformats.org/officeDocument/2006/relationships/hyperlink" Target="https://en.wikipedia.org/wiki/Nelson_County,_Virginia" TargetMode="External"/><Relationship Id="rId3101" Type="http://schemas.openxmlformats.org/officeDocument/2006/relationships/hyperlink" Target="https://en.wikipedia.org/wiki/Miller_County,_Missouri" TargetMode="External"/><Relationship Id="rId4432" Type="http://schemas.openxmlformats.org/officeDocument/2006/relationships/hyperlink" Target="https://en.wikipedia.org/wiki/Oregon" TargetMode="External"/><Relationship Id="rId5766" Type="http://schemas.openxmlformats.org/officeDocument/2006/relationships/hyperlink" Target="https://en.wikipedia.org/wiki/Virginia" TargetMode="External"/><Relationship Id="rId3104" Type="http://schemas.openxmlformats.org/officeDocument/2006/relationships/hyperlink" Target="https://en.wikipedia.org/wiki/Missouri" TargetMode="External"/><Relationship Id="rId4435" Type="http://schemas.openxmlformats.org/officeDocument/2006/relationships/hyperlink" Target="https://en.wikipedia.org/wiki/Curry_County,_Oregon" TargetMode="External"/><Relationship Id="rId5763" Type="http://schemas.openxmlformats.org/officeDocument/2006/relationships/hyperlink" Target="https://en.wikipedia.org/wiki/Montgomery_County,_Virginia" TargetMode="External"/><Relationship Id="rId3103" Type="http://schemas.openxmlformats.org/officeDocument/2006/relationships/hyperlink" Target="https://en.wikipedia.org/wiki/Mississippi_County,_Missouri" TargetMode="External"/><Relationship Id="rId4434" Type="http://schemas.openxmlformats.org/officeDocument/2006/relationships/hyperlink" Target="https://en.wikipedia.org/wiki/Oregon" TargetMode="External"/><Relationship Id="rId5764" Type="http://schemas.openxmlformats.org/officeDocument/2006/relationships/hyperlink" Target="https://en.wikipedia.org/wiki/Virginia" TargetMode="External"/><Relationship Id="rId3139" Type="http://schemas.openxmlformats.org/officeDocument/2006/relationships/hyperlink" Target="https://en.wikipedia.org/wiki/Pulaski_County,_Missouri" TargetMode="External"/><Relationship Id="rId3138" Type="http://schemas.openxmlformats.org/officeDocument/2006/relationships/hyperlink" Target="https://en.wikipedia.org/wiki/Missouri" TargetMode="External"/><Relationship Id="rId4469" Type="http://schemas.openxmlformats.org/officeDocument/2006/relationships/hyperlink" Target="https://en.wikipedia.org/wiki/Morrow_County,_Oregon" TargetMode="External"/><Relationship Id="rId5790" Type="http://schemas.openxmlformats.org/officeDocument/2006/relationships/hyperlink" Target="https://en.wikipedia.org/wiki/Virginia" TargetMode="External"/><Relationship Id="rId5791" Type="http://schemas.openxmlformats.org/officeDocument/2006/relationships/hyperlink" Target="https://en.wikipedia.org/wiki/Pulaski_County,_Virginia" TargetMode="External"/><Relationship Id="rId4460" Type="http://schemas.openxmlformats.org/officeDocument/2006/relationships/hyperlink" Target="https://en.wikipedia.org/wiki/Oregon" TargetMode="External"/><Relationship Id="rId3131" Type="http://schemas.openxmlformats.org/officeDocument/2006/relationships/hyperlink" Target="https://en.wikipedia.org/wiki/Phelps_County,_Missouri" TargetMode="External"/><Relationship Id="rId4462" Type="http://schemas.openxmlformats.org/officeDocument/2006/relationships/hyperlink" Target="https://en.wikipedia.org/wiki/Oregon" TargetMode="External"/><Relationship Id="rId5794" Type="http://schemas.openxmlformats.org/officeDocument/2006/relationships/hyperlink" Target="https://en.wikipedia.org/wiki/Virginia" TargetMode="External"/><Relationship Id="rId3130" Type="http://schemas.openxmlformats.org/officeDocument/2006/relationships/hyperlink" Target="https://en.wikipedia.org/wiki/Missouri" TargetMode="External"/><Relationship Id="rId4461" Type="http://schemas.openxmlformats.org/officeDocument/2006/relationships/hyperlink" Target="https://en.wikipedia.org/wiki/Lincoln_County,_Oregon" TargetMode="External"/><Relationship Id="rId5795" Type="http://schemas.openxmlformats.org/officeDocument/2006/relationships/hyperlink" Target="https://en.wikipedia.org/wiki/Richmond_County,_Virginia" TargetMode="External"/><Relationship Id="rId3133" Type="http://schemas.openxmlformats.org/officeDocument/2006/relationships/hyperlink" Target="https://en.wikipedia.org/wiki/Pike_County,_Missouri" TargetMode="External"/><Relationship Id="rId4464" Type="http://schemas.openxmlformats.org/officeDocument/2006/relationships/hyperlink" Target="https://en.wikipedia.org/wiki/Oregon" TargetMode="External"/><Relationship Id="rId5792" Type="http://schemas.openxmlformats.org/officeDocument/2006/relationships/hyperlink" Target="https://en.wikipedia.org/wiki/Virginia" TargetMode="External"/><Relationship Id="rId3132" Type="http://schemas.openxmlformats.org/officeDocument/2006/relationships/hyperlink" Target="https://en.wikipedia.org/wiki/Missouri" TargetMode="External"/><Relationship Id="rId4463" Type="http://schemas.openxmlformats.org/officeDocument/2006/relationships/hyperlink" Target="https://en.wikipedia.org/wiki/Linn_County,_Oregon" TargetMode="External"/><Relationship Id="rId5793" Type="http://schemas.openxmlformats.org/officeDocument/2006/relationships/hyperlink" Target="https://en.wikipedia.org/wiki/Rappahannock_County,_Virginia" TargetMode="External"/><Relationship Id="rId3135" Type="http://schemas.openxmlformats.org/officeDocument/2006/relationships/hyperlink" Target="https://en.wikipedia.org/wiki/Platte_County,_Missouri" TargetMode="External"/><Relationship Id="rId4466" Type="http://schemas.openxmlformats.org/officeDocument/2006/relationships/hyperlink" Target="https://en.wikipedia.org/wiki/Oregon" TargetMode="External"/><Relationship Id="rId5798" Type="http://schemas.openxmlformats.org/officeDocument/2006/relationships/hyperlink" Target="https://en.wikipedia.org/wiki/Virginia" TargetMode="External"/><Relationship Id="rId3134" Type="http://schemas.openxmlformats.org/officeDocument/2006/relationships/hyperlink" Target="https://en.wikipedia.org/wiki/Missouri" TargetMode="External"/><Relationship Id="rId4465" Type="http://schemas.openxmlformats.org/officeDocument/2006/relationships/hyperlink" Target="https://en.wikipedia.org/wiki/Malheur_County,_Oregon" TargetMode="External"/><Relationship Id="rId5799" Type="http://schemas.openxmlformats.org/officeDocument/2006/relationships/hyperlink" Target="https://en.wikipedia.org/wiki/Rockbridge_County,_Virginia" TargetMode="External"/><Relationship Id="rId3137" Type="http://schemas.openxmlformats.org/officeDocument/2006/relationships/hyperlink" Target="https://en.wikipedia.org/wiki/Polk_County,_Missouri" TargetMode="External"/><Relationship Id="rId4468" Type="http://schemas.openxmlformats.org/officeDocument/2006/relationships/hyperlink" Target="https://en.wikipedia.org/wiki/Oregon" TargetMode="External"/><Relationship Id="rId5796" Type="http://schemas.openxmlformats.org/officeDocument/2006/relationships/hyperlink" Target="https://en.wikipedia.org/wiki/Virginia" TargetMode="External"/><Relationship Id="rId3136" Type="http://schemas.openxmlformats.org/officeDocument/2006/relationships/hyperlink" Target="https://en.wikipedia.org/wiki/Missouri" TargetMode="External"/><Relationship Id="rId4467" Type="http://schemas.openxmlformats.org/officeDocument/2006/relationships/hyperlink" Target="https://en.wikipedia.org/wiki/Marion_County,_Oregon" TargetMode="External"/><Relationship Id="rId5797" Type="http://schemas.openxmlformats.org/officeDocument/2006/relationships/hyperlink" Target="https://en.wikipedia.org/wiki/Roanoke_County,_Virginia" TargetMode="External"/><Relationship Id="rId3128" Type="http://schemas.openxmlformats.org/officeDocument/2006/relationships/hyperlink" Target="https://en.wikipedia.org/wiki/Missouri" TargetMode="External"/><Relationship Id="rId4459" Type="http://schemas.openxmlformats.org/officeDocument/2006/relationships/hyperlink" Target="https://en.wikipedia.org/wiki/Lane_County,_Oregon" TargetMode="External"/><Relationship Id="rId3127" Type="http://schemas.openxmlformats.org/officeDocument/2006/relationships/hyperlink" Target="https://en.wikipedia.org/wiki/Perry_County,_Missouri" TargetMode="External"/><Relationship Id="rId4458" Type="http://schemas.openxmlformats.org/officeDocument/2006/relationships/hyperlink" Target="https://en.wikipedia.org/wiki/Oregon" TargetMode="External"/><Relationship Id="rId5789" Type="http://schemas.openxmlformats.org/officeDocument/2006/relationships/hyperlink" Target="https://en.wikipedia.org/wiki/Prince_William_County,_Virginia" TargetMode="External"/><Relationship Id="rId3129" Type="http://schemas.openxmlformats.org/officeDocument/2006/relationships/hyperlink" Target="https://en.wikipedia.org/wiki/Pettis_County,_Missouri" TargetMode="External"/><Relationship Id="rId5780" Type="http://schemas.openxmlformats.org/officeDocument/2006/relationships/hyperlink" Target="https://en.wikipedia.org/wiki/Virginia" TargetMode="External"/><Relationship Id="rId3120" Type="http://schemas.openxmlformats.org/officeDocument/2006/relationships/hyperlink" Target="https://en.wikipedia.org/wiki/Missouri" TargetMode="External"/><Relationship Id="rId4451" Type="http://schemas.openxmlformats.org/officeDocument/2006/relationships/hyperlink" Target="https://en.wikipedia.org/wiki/Jefferson_County,_Oregon" TargetMode="External"/><Relationship Id="rId5783" Type="http://schemas.openxmlformats.org/officeDocument/2006/relationships/hyperlink" Target="https://en.wikipedia.org/wiki/Powhatan_County,_Virginia" TargetMode="External"/><Relationship Id="rId4450" Type="http://schemas.openxmlformats.org/officeDocument/2006/relationships/hyperlink" Target="https://en.wikipedia.org/wiki/Oregon" TargetMode="External"/><Relationship Id="rId5784" Type="http://schemas.openxmlformats.org/officeDocument/2006/relationships/hyperlink" Target="https://en.wikipedia.org/wiki/Virginia" TargetMode="External"/><Relationship Id="rId3122" Type="http://schemas.openxmlformats.org/officeDocument/2006/relationships/hyperlink" Target="https://en.wikipedia.org/wiki/Missouri" TargetMode="External"/><Relationship Id="rId4453" Type="http://schemas.openxmlformats.org/officeDocument/2006/relationships/hyperlink" Target="https://en.wikipedia.org/wiki/Josephine_County,_Oregon" TargetMode="External"/><Relationship Id="rId5781" Type="http://schemas.openxmlformats.org/officeDocument/2006/relationships/hyperlink" Target="https://en.wikipedia.org/wiki/Pittsylvania_County,_Virginia" TargetMode="External"/><Relationship Id="rId3121" Type="http://schemas.openxmlformats.org/officeDocument/2006/relationships/hyperlink" Target="https://en.wikipedia.org/wiki/Osage_County,_Missouri" TargetMode="External"/><Relationship Id="rId4452" Type="http://schemas.openxmlformats.org/officeDocument/2006/relationships/hyperlink" Target="https://en.wikipedia.org/wiki/Oregon" TargetMode="External"/><Relationship Id="rId5782" Type="http://schemas.openxmlformats.org/officeDocument/2006/relationships/hyperlink" Target="https://en.wikipedia.org/wiki/Virginia" TargetMode="External"/><Relationship Id="rId3124" Type="http://schemas.openxmlformats.org/officeDocument/2006/relationships/hyperlink" Target="https://en.wikipedia.org/wiki/Missouri" TargetMode="External"/><Relationship Id="rId4455" Type="http://schemas.openxmlformats.org/officeDocument/2006/relationships/hyperlink" Target="https://en.wikipedia.org/wiki/Klamath_County,_Oregon" TargetMode="External"/><Relationship Id="rId5787" Type="http://schemas.openxmlformats.org/officeDocument/2006/relationships/hyperlink" Target="https://en.wikipedia.org/wiki/Prince_George_County,_Virginia" TargetMode="External"/><Relationship Id="rId3123" Type="http://schemas.openxmlformats.org/officeDocument/2006/relationships/hyperlink" Target="https://en.wikipedia.org/wiki/Ozark_County,_Missouri" TargetMode="External"/><Relationship Id="rId4454" Type="http://schemas.openxmlformats.org/officeDocument/2006/relationships/hyperlink" Target="https://en.wikipedia.org/wiki/Oregon" TargetMode="External"/><Relationship Id="rId5788" Type="http://schemas.openxmlformats.org/officeDocument/2006/relationships/hyperlink" Target="https://en.wikipedia.org/wiki/Virginia" TargetMode="External"/><Relationship Id="rId3126" Type="http://schemas.openxmlformats.org/officeDocument/2006/relationships/hyperlink" Target="https://en.wikipedia.org/wiki/Missouri" TargetMode="External"/><Relationship Id="rId4457" Type="http://schemas.openxmlformats.org/officeDocument/2006/relationships/hyperlink" Target="https://en.wikipedia.org/wiki/Lake_County,_Oregon" TargetMode="External"/><Relationship Id="rId5785" Type="http://schemas.openxmlformats.org/officeDocument/2006/relationships/hyperlink" Target="https://en.wikipedia.org/wiki/Prince_Edward_County,_Virginia" TargetMode="External"/><Relationship Id="rId3125" Type="http://schemas.openxmlformats.org/officeDocument/2006/relationships/hyperlink" Target="https://en.wikipedia.org/wiki/Pemiscot_County,_Missouri" TargetMode="External"/><Relationship Id="rId4456" Type="http://schemas.openxmlformats.org/officeDocument/2006/relationships/hyperlink" Target="https://en.wikipedia.org/wiki/Oregon" TargetMode="External"/><Relationship Id="rId5786" Type="http://schemas.openxmlformats.org/officeDocument/2006/relationships/hyperlink" Target="https://en.wikipedia.org/wiki/Virginia" TargetMode="External"/><Relationship Id="rId4404" Type="http://schemas.openxmlformats.org/officeDocument/2006/relationships/hyperlink" Target="https://en.wikipedia.org/wiki/Oklahoma" TargetMode="External"/><Relationship Id="rId5736" Type="http://schemas.openxmlformats.org/officeDocument/2006/relationships/hyperlink" Target="https://en.wikipedia.org/wiki/Virginia" TargetMode="External"/><Relationship Id="rId4403" Type="http://schemas.openxmlformats.org/officeDocument/2006/relationships/hyperlink" Target="https://en.wikipedia.org/wiki/Stephens_County,_Oklahoma" TargetMode="External"/><Relationship Id="rId5737" Type="http://schemas.openxmlformats.org/officeDocument/2006/relationships/hyperlink" Target="https://en.wikipedia.org/wiki/James_City_County,_Virginia" TargetMode="External"/><Relationship Id="rId4406" Type="http://schemas.openxmlformats.org/officeDocument/2006/relationships/hyperlink" Target="https://en.wikipedia.org/wiki/Oklahoma" TargetMode="External"/><Relationship Id="rId5734" Type="http://schemas.openxmlformats.org/officeDocument/2006/relationships/hyperlink" Target="https://en.wikipedia.org/wiki/Virginia" TargetMode="External"/><Relationship Id="rId4405" Type="http://schemas.openxmlformats.org/officeDocument/2006/relationships/hyperlink" Target="https://en.wikipedia.org/wiki/Texas_County,_Oklahoma" TargetMode="External"/><Relationship Id="rId5735" Type="http://schemas.openxmlformats.org/officeDocument/2006/relationships/hyperlink" Target="https://en.wikipedia.org/wiki/Isle_of_Wight_County,_Virginia" TargetMode="External"/><Relationship Id="rId4408" Type="http://schemas.openxmlformats.org/officeDocument/2006/relationships/hyperlink" Target="https://en.wikipedia.org/wiki/Oklahoma" TargetMode="External"/><Relationship Id="rId4407" Type="http://schemas.openxmlformats.org/officeDocument/2006/relationships/hyperlink" Target="https://en.wikipedia.org/wiki/Tillman_County,_Oklahoma" TargetMode="External"/><Relationship Id="rId5738" Type="http://schemas.openxmlformats.org/officeDocument/2006/relationships/hyperlink" Target="https://en.wikipedia.org/wiki/Virginia" TargetMode="External"/><Relationship Id="rId4409" Type="http://schemas.openxmlformats.org/officeDocument/2006/relationships/hyperlink" Target="https://en.wikipedia.org/wiki/Tulsa_County,_Oklahoma" TargetMode="External"/><Relationship Id="rId5739" Type="http://schemas.openxmlformats.org/officeDocument/2006/relationships/hyperlink" Target="https://en.wikipedia.org/wiki/King_and_Queen_County,_Virginia" TargetMode="External"/><Relationship Id="rId4400" Type="http://schemas.openxmlformats.org/officeDocument/2006/relationships/hyperlink" Target="https://en.wikipedia.org/wiki/Oklahoma" TargetMode="External"/><Relationship Id="rId5732" Type="http://schemas.openxmlformats.org/officeDocument/2006/relationships/hyperlink" Target="https://en.wikipedia.org/wiki/Virginia" TargetMode="External"/><Relationship Id="rId5733" Type="http://schemas.openxmlformats.org/officeDocument/2006/relationships/hyperlink" Target="https://en.wikipedia.org/wiki/Highland_County,_Virginia" TargetMode="External"/><Relationship Id="rId4402" Type="http://schemas.openxmlformats.org/officeDocument/2006/relationships/hyperlink" Target="https://en.wikipedia.org/wiki/Oklahoma" TargetMode="External"/><Relationship Id="rId5730" Type="http://schemas.openxmlformats.org/officeDocument/2006/relationships/hyperlink" Target="https://en.wikipedia.org/wiki/Virginia" TargetMode="External"/><Relationship Id="rId4401" Type="http://schemas.openxmlformats.org/officeDocument/2006/relationships/hyperlink" Target="https://en.wikipedia.org/wiki/Sequoyah_County,_Oklahoma" TargetMode="External"/><Relationship Id="rId5731" Type="http://schemas.openxmlformats.org/officeDocument/2006/relationships/hyperlink" Target="https://en.wikipedia.org/wiki/Henry_County,_Virginia" TargetMode="External"/><Relationship Id="rId5725" Type="http://schemas.openxmlformats.org/officeDocument/2006/relationships/hyperlink" Target="https://en.wikipedia.org/wiki/Halifax_County,_Virginia" TargetMode="External"/><Relationship Id="rId5726" Type="http://schemas.openxmlformats.org/officeDocument/2006/relationships/hyperlink" Target="https://en.wikipedia.org/wiki/Virginia" TargetMode="External"/><Relationship Id="rId5723" Type="http://schemas.openxmlformats.org/officeDocument/2006/relationships/hyperlink" Target="https://en.wikipedia.org/wiki/Greensville_County,_Virginia" TargetMode="External"/><Relationship Id="rId5724" Type="http://schemas.openxmlformats.org/officeDocument/2006/relationships/hyperlink" Target="https://en.wikipedia.org/wiki/Virginia" TargetMode="External"/><Relationship Id="rId5729" Type="http://schemas.openxmlformats.org/officeDocument/2006/relationships/hyperlink" Target="https://en.wikipedia.org/wiki/Henrico_County,_Virginia" TargetMode="External"/><Relationship Id="rId5727" Type="http://schemas.openxmlformats.org/officeDocument/2006/relationships/hyperlink" Target="https://en.wikipedia.org/wiki/Hanover_County,_Virginia" TargetMode="External"/><Relationship Id="rId5728" Type="http://schemas.openxmlformats.org/officeDocument/2006/relationships/hyperlink" Target="https://en.wikipedia.org/wiki/Virginia" TargetMode="External"/><Relationship Id="rId5721" Type="http://schemas.openxmlformats.org/officeDocument/2006/relationships/hyperlink" Target="https://en.wikipedia.org/wiki/Greene_County,_Virginia" TargetMode="External"/><Relationship Id="rId5722" Type="http://schemas.openxmlformats.org/officeDocument/2006/relationships/hyperlink" Target="https://en.wikipedia.org/wiki/Virginia" TargetMode="External"/><Relationship Id="rId5720" Type="http://schemas.openxmlformats.org/officeDocument/2006/relationships/hyperlink" Target="https://en.wikipedia.org/wiki/Virginia" TargetMode="External"/><Relationship Id="rId4426" Type="http://schemas.openxmlformats.org/officeDocument/2006/relationships/hyperlink" Target="https://en.wikipedia.org/wiki/Oregon" TargetMode="External"/><Relationship Id="rId5758" Type="http://schemas.openxmlformats.org/officeDocument/2006/relationships/hyperlink" Target="https://en.wikipedia.org/wiki/Virginia" TargetMode="External"/><Relationship Id="rId4425" Type="http://schemas.openxmlformats.org/officeDocument/2006/relationships/hyperlink" Target="https://en.wikipedia.org/wiki/Clackamas_County,_Oregon" TargetMode="External"/><Relationship Id="rId5759" Type="http://schemas.openxmlformats.org/officeDocument/2006/relationships/hyperlink" Target="https://en.wikipedia.org/wiki/Mecklenburg_County,_Virginia" TargetMode="External"/><Relationship Id="rId4428" Type="http://schemas.openxmlformats.org/officeDocument/2006/relationships/hyperlink" Target="https://en.wikipedia.org/wiki/Oregon" TargetMode="External"/><Relationship Id="rId5756" Type="http://schemas.openxmlformats.org/officeDocument/2006/relationships/hyperlink" Target="https://en.wikipedia.org/wiki/Virginia" TargetMode="External"/><Relationship Id="rId4427" Type="http://schemas.openxmlformats.org/officeDocument/2006/relationships/hyperlink" Target="https://en.wikipedia.org/wiki/Clatsop_County,_Oregon" TargetMode="External"/><Relationship Id="rId5757" Type="http://schemas.openxmlformats.org/officeDocument/2006/relationships/hyperlink" Target="https://en.wikipedia.org/wiki/Mathews_County,_Virginia" TargetMode="External"/><Relationship Id="rId4429" Type="http://schemas.openxmlformats.org/officeDocument/2006/relationships/hyperlink" Target="https://en.wikipedia.org/wiki/Columbia_County,_Oregon" TargetMode="External"/><Relationship Id="rId5750" Type="http://schemas.openxmlformats.org/officeDocument/2006/relationships/hyperlink" Target="https://en.wikipedia.org/wiki/Virginia" TargetMode="External"/><Relationship Id="rId5751" Type="http://schemas.openxmlformats.org/officeDocument/2006/relationships/hyperlink" Target="https://en.wikipedia.org/wiki/Louisa_County,_Virginia" TargetMode="External"/><Relationship Id="rId4420" Type="http://schemas.openxmlformats.org/officeDocument/2006/relationships/hyperlink" Target="https://en.wikipedia.org/wiki/Oregon" TargetMode="External"/><Relationship Id="rId4422" Type="http://schemas.openxmlformats.org/officeDocument/2006/relationships/hyperlink" Target="https://en.wikipedia.org/wiki/Oregon" TargetMode="External"/><Relationship Id="rId5754" Type="http://schemas.openxmlformats.org/officeDocument/2006/relationships/hyperlink" Target="https://en.wikipedia.org/wiki/Virginia" TargetMode="External"/><Relationship Id="rId4421" Type="http://schemas.openxmlformats.org/officeDocument/2006/relationships/hyperlink" Target="https://en.wikipedia.org/wiki/Baker_County,_Oregon" TargetMode="External"/><Relationship Id="rId5755" Type="http://schemas.openxmlformats.org/officeDocument/2006/relationships/hyperlink" Target="https://en.wikipedia.org/wiki/Madison_County,_Virginia" TargetMode="External"/><Relationship Id="rId4424" Type="http://schemas.openxmlformats.org/officeDocument/2006/relationships/hyperlink" Target="https://en.wikipedia.org/wiki/Oregon" TargetMode="External"/><Relationship Id="rId5752" Type="http://schemas.openxmlformats.org/officeDocument/2006/relationships/hyperlink" Target="https://en.wikipedia.org/wiki/Virginia" TargetMode="External"/><Relationship Id="rId4423" Type="http://schemas.openxmlformats.org/officeDocument/2006/relationships/hyperlink" Target="https://en.wikipedia.org/wiki/Benton_County,_Oregon" TargetMode="External"/><Relationship Id="rId5753" Type="http://schemas.openxmlformats.org/officeDocument/2006/relationships/hyperlink" Target="https://en.wikipedia.org/wiki/Lunenburg_County,_Virginia" TargetMode="External"/><Relationship Id="rId4415" Type="http://schemas.openxmlformats.org/officeDocument/2006/relationships/hyperlink" Target="https://en.wikipedia.org/wiki/Washita_County,_Oklahoma" TargetMode="External"/><Relationship Id="rId5747" Type="http://schemas.openxmlformats.org/officeDocument/2006/relationships/hyperlink" Target="https://en.wikipedia.org/wiki/Lee_County,_Virginia" TargetMode="External"/><Relationship Id="rId4414" Type="http://schemas.openxmlformats.org/officeDocument/2006/relationships/hyperlink" Target="https://en.wikipedia.org/wiki/Oklahoma" TargetMode="External"/><Relationship Id="rId5748" Type="http://schemas.openxmlformats.org/officeDocument/2006/relationships/hyperlink" Target="https://en.wikipedia.org/wiki/Virginia" TargetMode="External"/><Relationship Id="rId4417" Type="http://schemas.openxmlformats.org/officeDocument/2006/relationships/hyperlink" Target="https://en.wikipedia.org/wiki/Woods_County,_Oklahoma" TargetMode="External"/><Relationship Id="rId5745" Type="http://schemas.openxmlformats.org/officeDocument/2006/relationships/hyperlink" Target="https://en.wikipedia.org/wiki/Lancaster_County,_Virginia" TargetMode="External"/><Relationship Id="rId4416" Type="http://schemas.openxmlformats.org/officeDocument/2006/relationships/hyperlink" Target="https://en.wikipedia.org/wiki/Oklahoma" TargetMode="External"/><Relationship Id="rId5746" Type="http://schemas.openxmlformats.org/officeDocument/2006/relationships/hyperlink" Target="https://en.wikipedia.org/wiki/Virginia" TargetMode="External"/><Relationship Id="rId4419" Type="http://schemas.openxmlformats.org/officeDocument/2006/relationships/hyperlink" Target="https://en.wikipedia.org/wiki/Woodward_County,_Oklahoma" TargetMode="External"/><Relationship Id="rId4418" Type="http://schemas.openxmlformats.org/officeDocument/2006/relationships/hyperlink" Target="https://en.wikipedia.org/wiki/Oklahoma" TargetMode="External"/><Relationship Id="rId5749" Type="http://schemas.openxmlformats.org/officeDocument/2006/relationships/hyperlink" Target="https://en.wikipedia.org/wiki/Loudoun_County,_Virginia" TargetMode="External"/><Relationship Id="rId5740" Type="http://schemas.openxmlformats.org/officeDocument/2006/relationships/hyperlink" Target="https://en.wikipedia.org/wiki/Virginia" TargetMode="External"/><Relationship Id="rId4411" Type="http://schemas.openxmlformats.org/officeDocument/2006/relationships/hyperlink" Target="https://en.wikipedia.org/wiki/Wagoner_County,_Oklahoma" TargetMode="External"/><Relationship Id="rId5743" Type="http://schemas.openxmlformats.org/officeDocument/2006/relationships/hyperlink" Target="https://en.wikipedia.org/wiki/King_William_County,_Virginia" TargetMode="External"/><Relationship Id="rId4410" Type="http://schemas.openxmlformats.org/officeDocument/2006/relationships/hyperlink" Target="https://en.wikipedia.org/wiki/Oklahoma" TargetMode="External"/><Relationship Id="rId5744" Type="http://schemas.openxmlformats.org/officeDocument/2006/relationships/hyperlink" Target="https://en.wikipedia.org/wiki/Virginia" TargetMode="External"/><Relationship Id="rId4413" Type="http://schemas.openxmlformats.org/officeDocument/2006/relationships/hyperlink" Target="https://en.wikipedia.org/wiki/Washington_County,_Oklahoma" TargetMode="External"/><Relationship Id="rId5741" Type="http://schemas.openxmlformats.org/officeDocument/2006/relationships/hyperlink" Target="https://en.wikipedia.org/wiki/King_George_County,_Virginia" TargetMode="External"/><Relationship Id="rId4412" Type="http://schemas.openxmlformats.org/officeDocument/2006/relationships/hyperlink" Target="https://en.wikipedia.org/wiki/Oklahoma" TargetMode="External"/><Relationship Id="rId5742" Type="http://schemas.openxmlformats.org/officeDocument/2006/relationships/hyperlink" Target="https://en.wikipedia.org/wiki/Virginia" TargetMode="External"/><Relationship Id="rId3191" Type="http://schemas.openxmlformats.org/officeDocument/2006/relationships/hyperlink" Target="https://en.wikipedia.org/wiki/Wayne_County,_Missouri" TargetMode="External"/><Relationship Id="rId3190" Type="http://schemas.openxmlformats.org/officeDocument/2006/relationships/hyperlink" Target="https://en.wikipedia.org/wiki/Missouri" TargetMode="External"/><Relationship Id="rId3193" Type="http://schemas.openxmlformats.org/officeDocument/2006/relationships/hyperlink" Target="https://en.wikipedia.org/wiki/Webster_County,_Missouri" TargetMode="External"/><Relationship Id="rId3192" Type="http://schemas.openxmlformats.org/officeDocument/2006/relationships/hyperlink" Target="https://en.wikipedia.org/wiki/Missouri" TargetMode="External"/><Relationship Id="rId3195" Type="http://schemas.openxmlformats.org/officeDocument/2006/relationships/hyperlink" Target="https://en.wikipedia.org/wiki/Worth_County,_Missouri" TargetMode="External"/><Relationship Id="rId3194" Type="http://schemas.openxmlformats.org/officeDocument/2006/relationships/hyperlink" Target="https://en.wikipedia.org/wiki/Missouri" TargetMode="External"/><Relationship Id="rId3197" Type="http://schemas.openxmlformats.org/officeDocument/2006/relationships/hyperlink" Target="https://en.wikipedia.org/wiki/Wright_County,_Missouri" TargetMode="External"/><Relationship Id="rId3196" Type="http://schemas.openxmlformats.org/officeDocument/2006/relationships/hyperlink" Target="https://en.wikipedia.org/wiki/Missouri" TargetMode="External"/><Relationship Id="rId3199" Type="http://schemas.openxmlformats.org/officeDocument/2006/relationships/hyperlink" Target="https://en.wikipedia.org/wiki/St._Louis,_Missouri" TargetMode="External"/><Relationship Id="rId3198" Type="http://schemas.openxmlformats.org/officeDocument/2006/relationships/hyperlink" Target="https://en.wikipedia.org/wiki/Missouri" TargetMode="External"/><Relationship Id="rId3180" Type="http://schemas.openxmlformats.org/officeDocument/2006/relationships/hyperlink" Target="https://en.wikipedia.org/wiki/Missouri" TargetMode="External"/><Relationship Id="rId3182" Type="http://schemas.openxmlformats.org/officeDocument/2006/relationships/hyperlink" Target="https://en.wikipedia.org/wiki/Missouri" TargetMode="External"/><Relationship Id="rId3181" Type="http://schemas.openxmlformats.org/officeDocument/2006/relationships/hyperlink" Target="https://en.wikipedia.org/wiki/Taney_County,_Missouri" TargetMode="External"/><Relationship Id="rId3184" Type="http://schemas.openxmlformats.org/officeDocument/2006/relationships/hyperlink" Target="https://en.wikipedia.org/wiki/Missouri" TargetMode="External"/><Relationship Id="rId3183" Type="http://schemas.openxmlformats.org/officeDocument/2006/relationships/hyperlink" Target="https://en.wikipedia.org/wiki/Texas_County,_Missouri" TargetMode="External"/><Relationship Id="rId3186" Type="http://schemas.openxmlformats.org/officeDocument/2006/relationships/hyperlink" Target="https://en.wikipedia.org/wiki/Missouri" TargetMode="External"/><Relationship Id="rId3185" Type="http://schemas.openxmlformats.org/officeDocument/2006/relationships/hyperlink" Target="https://en.wikipedia.org/wiki/Vernon_County,_Missouri" TargetMode="External"/><Relationship Id="rId3188" Type="http://schemas.openxmlformats.org/officeDocument/2006/relationships/hyperlink" Target="https://en.wikipedia.org/wiki/Missouri" TargetMode="External"/><Relationship Id="rId3187" Type="http://schemas.openxmlformats.org/officeDocument/2006/relationships/hyperlink" Target="https://en.wikipedia.org/wiki/Warren_County,_Missouri" TargetMode="External"/><Relationship Id="rId3189" Type="http://schemas.openxmlformats.org/officeDocument/2006/relationships/hyperlink" Target="https://en.wikipedia.org/wiki/Washington_County,_Missouri" TargetMode="External"/><Relationship Id="rId4480" Type="http://schemas.openxmlformats.org/officeDocument/2006/relationships/hyperlink" Target="https://en.wikipedia.org/wiki/Oregon" TargetMode="External"/><Relationship Id="rId3151" Type="http://schemas.openxmlformats.org/officeDocument/2006/relationships/hyperlink" Target="https://en.wikipedia.org/wiki/Ripley_County,_Missouri" TargetMode="External"/><Relationship Id="rId4482" Type="http://schemas.openxmlformats.org/officeDocument/2006/relationships/hyperlink" Target="https://en.wikipedia.org/wiki/Oregon" TargetMode="External"/><Relationship Id="rId3150" Type="http://schemas.openxmlformats.org/officeDocument/2006/relationships/hyperlink" Target="https://en.wikipedia.org/wiki/Missouri" TargetMode="External"/><Relationship Id="rId4481" Type="http://schemas.openxmlformats.org/officeDocument/2006/relationships/hyperlink" Target="https://en.wikipedia.org/wiki/Union_County,_Oregon" TargetMode="External"/><Relationship Id="rId3153" Type="http://schemas.openxmlformats.org/officeDocument/2006/relationships/hyperlink" Target="https://en.wikipedia.org/wiki/St._Charles_County,_Missouri" TargetMode="External"/><Relationship Id="rId4484" Type="http://schemas.openxmlformats.org/officeDocument/2006/relationships/hyperlink" Target="https://en.wikipedia.org/wiki/Oregon" TargetMode="External"/><Relationship Id="rId3152" Type="http://schemas.openxmlformats.org/officeDocument/2006/relationships/hyperlink" Target="https://en.wikipedia.org/wiki/Missouri" TargetMode="External"/><Relationship Id="rId4483" Type="http://schemas.openxmlformats.org/officeDocument/2006/relationships/hyperlink" Target="https://en.wikipedia.org/wiki/Wallowa_County,_Oregon" TargetMode="External"/><Relationship Id="rId3155" Type="http://schemas.openxmlformats.org/officeDocument/2006/relationships/hyperlink" Target="https://en.wikipedia.org/wiki/St._Clair_County,_Missouri" TargetMode="External"/><Relationship Id="rId4486" Type="http://schemas.openxmlformats.org/officeDocument/2006/relationships/hyperlink" Target="https://en.wikipedia.org/wiki/Oregon" TargetMode="External"/><Relationship Id="rId3154" Type="http://schemas.openxmlformats.org/officeDocument/2006/relationships/hyperlink" Target="https://en.wikipedia.org/wiki/Missouri" TargetMode="External"/><Relationship Id="rId4485" Type="http://schemas.openxmlformats.org/officeDocument/2006/relationships/hyperlink" Target="https://en.wikipedia.org/wiki/Wasco_County,_Oregon" TargetMode="External"/><Relationship Id="rId3157" Type="http://schemas.openxmlformats.org/officeDocument/2006/relationships/hyperlink" Target="https://en.wikipedia.org/wiki/Ste._Genevieve_County,_Missouri" TargetMode="External"/><Relationship Id="rId4488" Type="http://schemas.openxmlformats.org/officeDocument/2006/relationships/hyperlink" Target="https://en.wikipedia.org/wiki/Oregon" TargetMode="External"/><Relationship Id="rId3156" Type="http://schemas.openxmlformats.org/officeDocument/2006/relationships/hyperlink" Target="https://en.wikipedia.org/wiki/Missouri" TargetMode="External"/><Relationship Id="rId4487" Type="http://schemas.openxmlformats.org/officeDocument/2006/relationships/hyperlink" Target="https://en.wikipedia.org/wiki/Washington_County,_Oregon" TargetMode="External"/><Relationship Id="rId3159" Type="http://schemas.openxmlformats.org/officeDocument/2006/relationships/hyperlink" Target="https://en.wikipedia.org/wiki/St._Francois_County,_Missouri" TargetMode="External"/><Relationship Id="rId3158" Type="http://schemas.openxmlformats.org/officeDocument/2006/relationships/hyperlink" Target="https://en.wikipedia.org/wiki/Missouri" TargetMode="External"/><Relationship Id="rId4489" Type="http://schemas.openxmlformats.org/officeDocument/2006/relationships/hyperlink" Target="https://en.wikipedia.org/wiki/Wheeler_County,_Oregon" TargetMode="External"/><Relationship Id="rId3149" Type="http://schemas.openxmlformats.org/officeDocument/2006/relationships/hyperlink" Target="https://en.wikipedia.org/wiki/Reynolds_County,_Missouri" TargetMode="External"/><Relationship Id="rId3140" Type="http://schemas.openxmlformats.org/officeDocument/2006/relationships/hyperlink" Target="https://en.wikipedia.org/wiki/Missouri" TargetMode="External"/><Relationship Id="rId4471" Type="http://schemas.openxmlformats.org/officeDocument/2006/relationships/hyperlink" Target="https://en.wikipedia.org/wiki/Multnomah_County,_Oregon" TargetMode="External"/><Relationship Id="rId4470" Type="http://schemas.openxmlformats.org/officeDocument/2006/relationships/hyperlink" Target="https://en.wikipedia.org/wiki/Oregon" TargetMode="External"/><Relationship Id="rId3142" Type="http://schemas.openxmlformats.org/officeDocument/2006/relationships/hyperlink" Target="https://en.wikipedia.org/wiki/Missouri" TargetMode="External"/><Relationship Id="rId4473" Type="http://schemas.openxmlformats.org/officeDocument/2006/relationships/hyperlink" Target="https://en.wikipedia.org/wiki/Polk_County,_Oregon" TargetMode="External"/><Relationship Id="rId3141" Type="http://schemas.openxmlformats.org/officeDocument/2006/relationships/hyperlink" Target="https://en.wikipedia.org/wiki/Putnam_County,_Missouri" TargetMode="External"/><Relationship Id="rId4472" Type="http://schemas.openxmlformats.org/officeDocument/2006/relationships/hyperlink" Target="https://en.wikipedia.org/wiki/Oregon" TargetMode="External"/><Relationship Id="rId3144" Type="http://schemas.openxmlformats.org/officeDocument/2006/relationships/hyperlink" Target="https://en.wikipedia.org/wiki/Missouri" TargetMode="External"/><Relationship Id="rId4475" Type="http://schemas.openxmlformats.org/officeDocument/2006/relationships/hyperlink" Target="https://en.wikipedia.org/wiki/Sherman_County,_Oregon" TargetMode="External"/><Relationship Id="rId3143" Type="http://schemas.openxmlformats.org/officeDocument/2006/relationships/hyperlink" Target="https://en.wikipedia.org/wiki/Ralls_County,_Missouri" TargetMode="External"/><Relationship Id="rId4474" Type="http://schemas.openxmlformats.org/officeDocument/2006/relationships/hyperlink" Target="https://en.wikipedia.org/wiki/Oregon" TargetMode="External"/><Relationship Id="rId3146" Type="http://schemas.openxmlformats.org/officeDocument/2006/relationships/hyperlink" Target="https://en.wikipedia.org/wiki/Missouri" TargetMode="External"/><Relationship Id="rId4477" Type="http://schemas.openxmlformats.org/officeDocument/2006/relationships/hyperlink" Target="https://en.wikipedia.org/wiki/Tillamook_County,_Oregon" TargetMode="External"/><Relationship Id="rId3145" Type="http://schemas.openxmlformats.org/officeDocument/2006/relationships/hyperlink" Target="https://en.wikipedia.org/wiki/Randolph_County,_Missouri" TargetMode="External"/><Relationship Id="rId4476" Type="http://schemas.openxmlformats.org/officeDocument/2006/relationships/hyperlink" Target="https://en.wikipedia.org/wiki/Oregon" TargetMode="External"/><Relationship Id="rId3148" Type="http://schemas.openxmlformats.org/officeDocument/2006/relationships/hyperlink" Target="https://en.wikipedia.org/wiki/Missouri" TargetMode="External"/><Relationship Id="rId4479" Type="http://schemas.openxmlformats.org/officeDocument/2006/relationships/hyperlink" Target="https://en.wikipedia.org/wiki/Umatilla_County,_Oregon" TargetMode="External"/><Relationship Id="rId3147" Type="http://schemas.openxmlformats.org/officeDocument/2006/relationships/hyperlink" Target="https://en.wikipedia.org/wiki/Ray_County,_Missouri" TargetMode="External"/><Relationship Id="rId4478" Type="http://schemas.openxmlformats.org/officeDocument/2006/relationships/hyperlink" Target="https://en.wikipedia.org/wiki/Oregon" TargetMode="External"/><Relationship Id="rId3171" Type="http://schemas.openxmlformats.org/officeDocument/2006/relationships/hyperlink" Target="https://en.wikipedia.org/wiki/Shannon_County,_Missouri" TargetMode="External"/><Relationship Id="rId3170" Type="http://schemas.openxmlformats.org/officeDocument/2006/relationships/hyperlink" Target="https://en.wikipedia.org/wiki/Missouri" TargetMode="External"/><Relationship Id="rId3173" Type="http://schemas.openxmlformats.org/officeDocument/2006/relationships/hyperlink" Target="https://en.wikipedia.org/wiki/Shelby_County,_Missouri" TargetMode="External"/><Relationship Id="rId3172" Type="http://schemas.openxmlformats.org/officeDocument/2006/relationships/hyperlink" Target="https://en.wikipedia.org/wiki/Missouri" TargetMode="External"/><Relationship Id="rId3175" Type="http://schemas.openxmlformats.org/officeDocument/2006/relationships/hyperlink" Target="https://en.wikipedia.org/wiki/Stoddard_County,_Missouri" TargetMode="External"/><Relationship Id="rId3174" Type="http://schemas.openxmlformats.org/officeDocument/2006/relationships/hyperlink" Target="https://en.wikipedia.org/wiki/Missouri" TargetMode="External"/><Relationship Id="rId3177" Type="http://schemas.openxmlformats.org/officeDocument/2006/relationships/hyperlink" Target="https://en.wikipedia.org/wiki/Stone_County,_Missouri" TargetMode="External"/><Relationship Id="rId3176" Type="http://schemas.openxmlformats.org/officeDocument/2006/relationships/hyperlink" Target="https://en.wikipedia.org/wiki/Missouri" TargetMode="External"/><Relationship Id="rId3179" Type="http://schemas.openxmlformats.org/officeDocument/2006/relationships/hyperlink" Target="https://en.wikipedia.org/wiki/Sullivan_County,_Missouri" TargetMode="External"/><Relationship Id="rId3178" Type="http://schemas.openxmlformats.org/officeDocument/2006/relationships/hyperlink" Target="https://en.wikipedia.org/wiki/Missouri" TargetMode="External"/><Relationship Id="rId3160" Type="http://schemas.openxmlformats.org/officeDocument/2006/relationships/hyperlink" Target="https://en.wikipedia.org/wiki/Missouri" TargetMode="External"/><Relationship Id="rId4491" Type="http://schemas.openxmlformats.org/officeDocument/2006/relationships/hyperlink" Target="https://en.wikipedia.org/wiki/Yamhill_County,_Oregon" TargetMode="External"/><Relationship Id="rId4490" Type="http://schemas.openxmlformats.org/officeDocument/2006/relationships/hyperlink" Target="https://en.wikipedia.org/wiki/Oregon" TargetMode="External"/><Relationship Id="rId3162" Type="http://schemas.openxmlformats.org/officeDocument/2006/relationships/hyperlink" Target="https://en.wikipedia.org/wiki/Missouri" TargetMode="External"/><Relationship Id="rId4493" Type="http://schemas.openxmlformats.org/officeDocument/2006/relationships/hyperlink" Target="https://en.wikipedia.org/wiki/Adams_County,_Pennsylvania" TargetMode="External"/><Relationship Id="rId3161" Type="http://schemas.openxmlformats.org/officeDocument/2006/relationships/hyperlink" Target="https://en.wikipedia.org/wiki/St._Louis_County,_Missouri" TargetMode="External"/><Relationship Id="rId4492" Type="http://schemas.openxmlformats.org/officeDocument/2006/relationships/hyperlink" Target="https://en.wikipedia.org/wiki/Pennsylvania" TargetMode="External"/><Relationship Id="rId3164" Type="http://schemas.openxmlformats.org/officeDocument/2006/relationships/hyperlink" Target="https://en.wikipedia.org/wiki/Missouri" TargetMode="External"/><Relationship Id="rId4495" Type="http://schemas.openxmlformats.org/officeDocument/2006/relationships/hyperlink" Target="https://en.wikipedia.org/wiki/Allegheny_County,_Pennsylvania" TargetMode="External"/><Relationship Id="rId3163" Type="http://schemas.openxmlformats.org/officeDocument/2006/relationships/hyperlink" Target="https://en.wikipedia.org/wiki/Saline_County,_Missouri" TargetMode="External"/><Relationship Id="rId4494" Type="http://schemas.openxmlformats.org/officeDocument/2006/relationships/hyperlink" Target="https://en.wikipedia.org/wiki/Pennsylvania" TargetMode="External"/><Relationship Id="rId3166" Type="http://schemas.openxmlformats.org/officeDocument/2006/relationships/hyperlink" Target="https://en.wikipedia.org/wiki/Missouri" TargetMode="External"/><Relationship Id="rId4497" Type="http://schemas.openxmlformats.org/officeDocument/2006/relationships/hyperlink" Target="https://en.wikipedia.org/wiki/Armstrong_County,_Pennsylvania" TargetMode="External"/><Relationship Id="rId3165" Type="http://schemas.openxmlformats.org/officeDocument/2006/relationships/hyperlink" Target="https://en.wikipedia.org/wiki/Schuyler_County,_Missouri" TargetMode="External"/><Relationship Id="rId4496" Type="http://schemas.openxmlformats.org/officeDocument/2006/relationships/hyperlink" Target="https://en.wikipedia.org/wiki/Pennsylvania" TargetMode="External"/><Relationship Id="rId3168" Type="http://schemas.openxmlformats.org/officeDocument/2006/relationships/hyperlink" Target="https://en.wikipedia.org/wiki/Missouri" TargetMode="External"/><Relationship Id="rId4499" Type="http://schemas.openxmlformats.org/officeDocument/2006/relationships/hyperlink" Target="https://en.wikipedia.org/wiki/Beaver_County,_Pennsylvania" TargetMode="External"/><Relationship Id="rId3167" Type="http://schemas.openxmlformats.org/officeDocument/2006/relationships/hyperlink" Target="https://en.wikipedia.org/wiki/Scotland_County,_Missouri" TargetMode="External"/><Relationship Id="rId4498" Type="http://schemas.openxmlformats.org/officeDocument/2006/relationships/hyperlink" Target="https://en.wikipedia.org/wiki/Pennsylvania" TargetMode="External"/><Relationship Id="rId3169" Type="http://schemas.openxmlformats.org/officeDocument/2006/relationships/hyperlink" Target="https://en.wikipedia.org/wiki/Scott_County,_Missouri" TargetMode="External"/><Relationship Id="rId5813" Type="http://schemas.openxmlformats.org/officeDocument/2006/relationships/hyperlink" Target="https://en.wikipedia.org/wiki/Spotsylvania_County,_Virginia" TargetMode="External"/><Relationship Id="rId5814" Type="http://schemas.openxmlformats.org/officeDocument/2006/relationships/hyperlink" Target="https://en.wikipedia.org/wiki/Virginia" TargetMode="External"/><Relationship Id="rId5811" Type="http://schemas.openxmlformats.org/officeDocument/2006/relationships/hyperlink" Target="https://en.wikipedia.org/wiki/Southampton_County,_Virginia" TargetMode="External"/><Relationship Id="rId5812" Type="http://schemas.openxmlformats.org/officeDocument/2006/relationships/hyperlink" Target="https://en.wikipedia.org/wiki/Virginia" TargetMode="External"/><Relationship Id="rId5817" Type="http://schemas.openxmlformats.org/officeDocument/2006/relationships/hyperlink" Target="https://en.wikipedia.org/wiki/Surry_County,_Virginia" TargetMode="External"/><Relationship Id="rId5818" Type="http://schemas.openxmlformats.org/officeDocument/2006/relationships/hyperlink" Target="https://en.wikipedia.org/wiki/Virginia" TargetMode="External"/><Relationship Id="rId5815" Type="http://schemas.openxmlformats.org/officeDocument/2006/relationships/hyperlink" Target="https://en.wikipedia.org/wiki/Stafford_County,_Virginia" TargetMode="External"/><Relationship Id="rId5816" Type="http://schemas.openxmlformats.org/officeDocument/2006/relationships/hyperlink" Target="https://en.wikipedia.org/wiki/Virginia" TargetMode="External"/><Relationship Id="rId5819" Type="http://schemas.openxmlformats.org/officeDocument/2006/relationships/hyperlink" Target="https://en.wikipedia.org/wiki/Sussex_County,_Virginia" TargetMode="External"/><Relationship Id="rId5810" Type="http://schemas.openxmlformats.org/officeDocument/2006/relationships/hyperlink" Target="https://en.wikipedia.org/wiki/Virginia" TargetMode="External"/><Relationship Id="rId5802" Type="http://schemas.openxmlformats.org/officeDocument/2006/relationships/hyperlink" Target="https://en.wikipedia.org/wiki/Virginia" TargetMode="External"/><Relationship Id="rId5803" Type="http://schemas.openxmlformats.org/officeDocument/2006/relationships/hyperlink" Target="https://en.wikipedia.org/wiki/Russell_County,_Virginia" TargetMode="External"/><Relationship Id="rId5800" Type="http://schemas.openxmlformats.org/officeDocument/2006/relationships/hyperlink" Target="https://en.wikipedia.org/wiki/Virginia" TargetMode="External"/><Relationship Id="rId5801" Type="http://schemas.openxmlformats.org/officeDocument/2006/relationships/hyperlink" Target="https://en.wikipedia.org/wiki/Rockingham_County,_Virginia" TargetMode="External"/><Relationship Id="rId5806" Type="http://schemas.openxmlformats.org/officeDocument/2006/relationships/hyperlink" Target="https://en.wikipedia.org/wiki/Virginia" TargetMode="External"/><Relationship Id="rId5807" Type="http://schemas.openxmlformats.org/officeDocument/2006/relationships/hyperlink" Target="https://en.wikipedia.org/wiki/Shenandoah_County,_Virginia" TargetMode="External"/><Relationship Id="rId5804" Type="http://schemas.openxmlformats.org/officeDocument/2006/relationships/hyperlink" Target="https://en.wikipedia.org/wiki/Virginia" TargetMode="External"/><Relationship Id="rId5805" Type="http://schemas.openxmlformats.org/officeDocument/2006/relationships/hyperlink" Target="https://en.wikipedia.org/wiki/Scott_County,_Virginia" TargetMode="External"/><Relationship Id="rId5808" Type="http://schemas.openxmlformats.org/officeDocument/2006/relationships/hyperlink" Target="https://en.wikipedia.org/wiki/Virginia" TargetMode="External"/><Relationship Id="rId5809" Type="http://schemas.openxmlformats.org/officeDocument/2006/relationships/hyperlink" Target="https://en.wikipedia.org/wiki/Smyth_County,_Virginia" TargetMode="External"/><Relationship Id="rId4503" Type="http://schemas.openxmlformats.org/officeDocument/2006/relationships/hyperlink" Target="https://en.wikipedia.org/wiki/Berks_County,_Pennsylvania" TargetMode="External"/><Relationship Id="rId5835" Type="http://schemas.openxmlformats.org/officeDocument/2006/relationships/hyperlink" Target="https://en.wikipedia.org/wiki/Alexandria,_Virginia" TargetMode="External"/><Relationship Id="rId4502" Type="http://schemas.openxmlformats.org/officeDocument/2006/relationships/hyperlink" Target="https://en.wikipedia.org/wiki/Pennsylvania" TargetMode="External"/><Relationship Id="rId5836" Type="http://schemas.openxmlformats.org/officeDocument/2006/relationships/hyperlink" Target="https://en.wikipedia.org/wiki/Virginia" TargetMode="External"/><Relationship Id="rId4505" Type="http://schemas.openxmlformats.org/officeDocument/2006/relationships/hyperlink" Target="https://en.wikipedia.org/wiki/Blair_County,_Pennsylvania" TargetMode="External"/><Relationship Id="rId5833" Type="http://schemas.openxmlformats.org/officeDocument/2006/relationships/hyperlink" Target="https://en.wikipedia.org/wiki/York_County,_Virginia" TargetMode="External"/><Relationship Id="rId4504" Type="http://schemas.openxmlformats.org/officeDocument/2006/relationships/hyperlink" Target="https://en.wikipedia.org/wiki/Pennsylvania" TargetMode="External"/><Relationship Id="rId5834" Type="http://schemas.openxmlformats.org/officeDocument/2006/relationships/hyperlink" Target="https://en.wikipedia.org/wiki/Virginia" TargetMode="External"/><Relationship Id="rId4507" Type="http://schemas.openxmlformats.org/officeDocument/2006/relationships/hyperlink" Target="https://en.wikipedia.org/wiki/Bradford_County,_Pennsylvania" TargetMode="External"/><Relationship Id="rId5839" Type="http://schemas.openxmlformats.org/officeDocument/2006/relationships/hyperlink" Target="https://en.wikipedia.org/wiki/Bristol,_Virginia" TargetMode="External"/><Relationship Id="rId4506" Type="http://schemas.openxmlformats.org/officeDocument/2006/relationships/hyperlink" Target="https://en.wikipedia.org/wiki/Pennsylvania" TargetMode="External"/><Relationship Id="rId4509" Type="http://schemas.openxmlformats.org/officeDocument/2006/relationships/hyperlink" Target="https://en.wikipedia.org/wiki/Bucks_County,_Pennsylvania" TargetMode="External"/><Relationship Id="rId5837" Type="http://schemas.openxmlformats.org/officeDocument/2006/relationships/hyperlink" Target="https://en.wikipedia.org/wiki/Bedford,_Virginia" TargetMode="External"/><Relationship Id="rId4508" Type="http://schemas.openxmlformats.org/officeDocument/2006/relationships/hyperlink" Target="https://en.wikipedia.org/wiki/Pennsylvania" TargetMode="External"/><Relationship Id="rId5838" Type="http://schemas.openxmlformats.org/officeDocument/2006/relationships/hyperlink" Target="https://en.wikipedia.org/wiki/Virginia" TargetMode="External"/><Relationship Id="rId5831" Type="http://schemas.openxmlformats.org/officeDocument/2006/relationships/hyperlink" Target="https://en.wikipedia.org/wiki/Wythe_County,_Virginia" TargetMode="External"/><Relationship Id="rId5832" Type="http://schemas.openxmlformats.org/officeDocument/2006/relationships/hyperlink" Target="https://en.wikipedia.org/wiki/Virginia" TargetMode="External"/><Relationship Id="rId4501" Type="http://schemas.openxmlformats.org/officeDocument/2006/relationships/hyperlink" Target="https://en.wikipedia.org/wiki/Bedford_County,_Pennsylvania" TargetMode="External"/><Relationship Id="rId4500" Type="http://schemas.openxmlformats.org/officeDocument/2006/relationships/hyperlink" Target="https://en.wikipedia.org/wiki/Pennsylvania" TargetMode="External"/><Relationship Id="rId5830" Type="http://schemas.openxmlformats.org/officeDocument/2006/relationships/hyperlink" Target="https://en.wikipedia.org/wiki/Virginia" TargetMode="External"/><Relationship Id="rId5824" Type="http://schemas.openxmlformats.org/officeDocument/2006/relationships/hyperlink" Target="https://en.wikipedia.org/wiki/Virginia" TargetMode="External"/><Relationship Id="rId5825" Type="http://schemas.openxmlformats.org/officeDocument/2006/relationships/hyperlink" Target="https://en.wikipedia.org/wiki/Washington_County,_Virginia" TargetMode="External"/><Relationship Id="rId5822" Type="http://schemas.openxmlformats.org/officeDocument/2006/relationships/hyperlink" Target="https://en.wikipedia.org/wiki/Virginia" TargetMode="External"/><Relationship Id="rId5823" Type="http://schemas.openxmlformats.org/officeDocument/2006/relationships/hyperlink" Target="https://en.wikipedia.org/wiki/Warren_County,_Virginia" TargetMode="External"/><Relationship Id="rId5828" Type="http://schemas.openxmlformats.org/officeDocument/2006/relationships/hyperlink" Target="https://en.wikipedia.org/wiki/Virginia" TargetMode="External"/><Relationship Id="rId5829" Type="http://schemas.openxmlformats.org/officeDocument/2006/relationships/hyperlink" Target="https://en.wikipedia.org/wiki/Wise_County,_Virginia" TargetMode="External"/><Relationship Id="rId5826" Type="http://schemas.openxmlformats.org/officeDocument/2006/relationships/hyperlink" Target="https://en.wikipedia.org/wiki/Virginia" TargetMode="External"/><Relationship Id="rId5827" Type="http://schemas.openxmlformats.org/officeDocument/2006/relationships/hyperlink" Target="https://en.wikipedia.org/wiki/Westmoreland_County,_Virginia" TargetMode="External"/><Relationship Id="rId5820" Type="http://schemas.openxmlformats.org/officeDocument/2006/relationships/hyperlink" Target="https://en.wikipedia.org/wiki/Virginia" TargetMode="External"/><Relationship Id="rId5821" Type="http://schemas.openxmlformats.org/officeDocument/2006/relationships/hyperlink" Target="https://en.wikipedia.org/wiki/Tazewell_County,_Virginia" TargetMode="External"/><Relationship Id="rId3238" Type="http://schemas.openxmlformats.org/officeDocument/2006/relationships/hyperlink" Target="https://en.wikipedia.org/wiki/Montana" TargetMode="External"/><Relationship Id="rId4569" Type="http://schemas.openxmlformats.org/officeDocument/2006/relationships/hyperlink" Target="https://en.wikipedia.org/wiki/Lehigh_County,_Pennsylvania" TargetMode="External"/><Relationship Id="rId3237" Type="http://schemas.openxmlformats.org/officeDocument/2006/relationships/hyperlink" Target="https://en.wikipedia.org/wiki/Golden_Valley_County,_Montana" TargetMode="External"/><Relationship Id="rId4568" Type="http://schemas.openxmlformats.org/officeDocument/2006/relationships/hyperlink" Target="https://en.wikipedia.org/wiki/Pennsylvania" TargetMode="External"/><Relationship Id="rId5899" Type="http://schemas.openxmlformats.org/officeDocument/2006/relationships/hyperlink" Target="https://en.wikipedia.org/wiki/Salem,_Virginia" TargetMode="External"/><Relationship Id="rId3239" Type="http://schemas.openxmlformats.org/officeDocument/2006/relationships/hyperlink" Target="https://en.wikipedia.org/wiki/Granite_County,_Montana" TargetMode="External"/><Relationship Id="rId5890" Type="http://schemas.openxmlformats.org/officeDocument/2006/relationships/hyperlink" Target="https://en.wikipedia.org/wiki/Virginia" TargetMode="External"/><Relationship Id="rId3230" Type="http://schemas.openxmlformats.org/officeDocument/2006/relationships/hyperlink" Target="https://en.wikipedia.org/wiki/Montana" TargetMode="External"/><Relationship Id="rId4561" Type="http://schemas.openxmlformats.org/officeDocument/2006/relationships/hyperlink" Target="https://en.wikipedia.org/wiki/Lackawanna_County,_Pennsylvania" TargetMode="External"/><Relationship Id="rId5893" Type="http://schemas.openxmlformats.org/officeDocument/2006/relationships/hyperlink" Target="https://en.wikipedia.org/wiki/Radford,_Virginia" TargetMode="External"/><Relationship Id="rId4560" Type="http://schemas.openxmlformats.org/officeDocument/2006/relationships/hyperlink" Target="https://en.wikipedia.org/wiki/Pennsylvania" TargetMode="External"/><Relationship Id="rId5894" Type="http://schemas.openxmlformats.org/officeDocument/2006/relationships/hyperlink" Target="https://en.wikipedia.org/wiki/Virginia" TargetMode="External"/><Relationship Id="rId3232" Type="http://schemas.openxmlformats.org/officeDocument/2006/relationships/hyperlink" Target="https://en.wikipedia.org/wiki/Montana" TargetMode="External"/><Relationship Id="rId4563" Type="http://schemas.openxmlformats.org/officeDocument/2006/relationships/hyperlink" Target="https://en.wikipedia.org/wiki/Lancaster_County,_Pennsylvania" TargetMode="External"/><Relationship Id="rId5891" Type="http://schemas.openxmlformats.org/officeDocument/2006/relationships/hyperlink" Target="https://en.wikipedia.org/wiki/Portsmouth,_Virginia" TargetMode="External"/><Relationship Id="rId3231" Type="http://schemas.openxmlformats.org/officeDocument/2006/relationships/hyperlink" Target="https://en.wikipedia.org/wiki/Gallatin_County,_Montana" TargetMode="External"/><Relationship Id="rId4562" Type="http://schemas.openxmlformats.org/officeDocument/2006/relationships/hyperlink" Target="https://en.wikipedia.org/wiki/Pennsylvania" TargetMode="External"/><Relationship Id="rId5892" Type="http://schemas.openxmlformats.org/officeDocument/2006/relationships/hyperlink" Target="https://en.wikipedia.org/wiki/Virginia" TargetMode="External"/><Relationship Id="rId3234" Type="http://schemas.openxmlformats.org/officeDocument/2006/relationships/hyperlink" Target="https://en.wikipedia.org/wiki/Montana" TargetMode="External"/><Relationship Id="rId4565" Type="http://schemas.openxmlformats.org/officeDocument/2006/relationships/hyperlink" Target="https://en.wikipedia.org/wiki/Lawrence_County,_Pennsylvania" TargetMode="External"/><Relationship Id="rId5897" Type="http://schemas.openxmlformats.org/officeDocument/2006/relationships/hyperlink" Target="https://en.wikipedia.org/wiki/Roanoke,_Virginia" TargetMode="External"/><Relationship Id="rId3233" Type="http://schemas.openxmlformats.org/officeDocument/2006/relationships/hyperlink" Target="https://en.wikipedia.org/wiki/Garfield_County,_Montana" TargetMode="External"/><Relationship Id="rId4564" Type="http://schemas.openxmlformats.org/officeDocument/2006/relationships/hyperlink" Target="https://en.wikipedia.org/wiki/Pennsylvania" TargetMode="External"/><Relationship Id="rId5898" Type="http://schemas.openxmlformats.org/officeDocument/2006/relationships/hyperlink" Target="https://en.wikipedia.org/wiki/Virginia" TargetMode="External"/><Relationship Id="rId3236" Type="http://schemas.openxmlformats.org/officeDocument/2006/relationships/hyperlink" Target="https://en.wikipedia.org/wiki/Montana" TargetMode="External"/><Relationship Id="rId4567" Type="http://schemas.openxmlformats.org/officeDocument/2006/relationships/hyperlink" Target="https://en.wikipedia.org/wiki/Lebanon_County,_Pennsylvania" TargetMode="External"/><Relationship Id="rId5895" Type="http://schemas.openxmlformats.org/officeDocument/2006/relationships/hyperlink" Target="https://en.wikipedia.org/wiki/Richmond,_Virginia" TargetMode="External"/><Relationship Id="rId3235" Type="http://schemas.openxmlformats.org/officeDocument/2006/relationships/hyperlink" Target="https://en.wikipedia.org/wiki/Glacier_County,_Montana" TargetMode="External"/><Relationship Id="rId4566" Type="http://schemas.openxmlformats.org/officeDocument/2006/relationships/hyperlink" Target="https://en.wikipedia.org/wiki/Pennsylvania" TargetMode="External"/><Relationship Id="rId5896" Type="http://schemas.openxmlformats.org/officeDocument/2006/relationships/hyperlink" Target="https://en.wikipedia.org/wiki/Virginia" TargetMode="External"/><Relationship Id="rId3227" Type="http://schemas.openxmlformats.org/officeDocument/2006/relationships/hyperlink" Target="https://en.wikipedia.org/wiki/Fergus_County,_Montana" TargetMode="External"/><Relationship Id="rId4558" Type="http://schemas.openxmlformats.org/officeDocument/2006/relationships/hyperlink" Target="https://en.wikipedia.org/wiki/Pennsylvania" TargetMode="External"/><Relationship Id="rId3226" Type="http://schemas.openxmlformats.org/officeDocument/2006/relationships/hyperlink" Target="https://en.wikipedia.org/wiki/Montana" TargetMode="External"/><Relationship Id="rId4557" Type="http://schemas.openxmlformats.org/officeDocument/2006/relationships/hyperlink" Target="https://en.wikipedia.org/wiki/Jefferson_County,_Pennsylvania" TargetMode="External"/><Relationship Id="rId3229" Type="http://schemas.openxmlformats.org/officeDocument/2006/relationships/hyperlink" Target="https://en.wikipedia.org/wiki/Flathead_County,_Montana" TargetMode="External"/><Relationship Id="rId5888" Type="http://schemas.openxmlformats.org/officeDocument/2006/relationships/hyperlink" Target="https://en.wikipedia.org/wiki/Virginia" TargetMode="External"/><Relationship Id="rId3228" Type="http://schemas.openxmlformats.org/officeDocument/2006/relationships/hyperlink" Target="https://en.wikipedia.org/wiki/Montana" TargetMode="External"/><Relationship Id="rId4559" Type="http://schemas.openxmlformats.org/officeDocument/2006/relationships/hyperlink" Target="https://en.wikipedia.org/wiki/Juniata_County,_Pennsylvania" TargetMode="External"/><Relationship Id="rId5889" Type="http://schemas.openxmlformats.org/officeDocument/2006/relationships/hyperlink" Target="https://en.wikipedia.org/wiki/Poquoson,_Virginia" TargetMode="External"/><Relationship Id="rId4550" Type="http://schemas.openxmlformats.org/officeDocument/2006/relationships/hyperlink" Target="https://en.wikipedia.org/wiki/Pennsylvania" TargetMode="External"/><Relationship Id="rId5882" Type="http://schemas.openxmlformats.org/officeDocument/2006/relationships/hyperlink" Target="https://en.wikipedia.org/wiki/Virginia" TargetMode="External"/><Relationship Id="rId5883" Type="http://schemas.openxmlformats.org/officeDocument/2006/relationships/hyperlink" Target="https://en.wikipedia.org/wiki/Norfolk,_Virginia" TargetMode="External"/><Relationship Id="rId3221" Type="http://schemas.openxmlformats.org/officeDocument/2006/relationships/hyperlink" Target="https://en.wikipedia.org/wiki/Dawson_County,_Montana" TargetMode="External"/><Relationship Id="rId4552" Type="http://schemas.openxmlformats.org/officeDocument/2006/relationships/hyperlink" Target="https://en.wikipedia.org/wiki/Pennsylvania" TargetMode="External"/><Relationship Id="rId5880" Type="http://schemas.openxmlformats.org/officeDocument/2006/relationships/hyperlink" Target="https://en.wikipedia.org/wiki/Virginia" TargetMode="External"/><Relationship Id="rId3220" Type="http://schemas.openxmlformats.org/officeDocument/2006/relationships/hyperlink" Target="https://en.wikipedia.org/wiki/Montana" TargetMode="External"/><Relationship Id="rId4551" Type="http://schemas.openxmlformats.org/officeDocument/2006/relationships/hyperlink" Target="https://en.wikipedia.org/wiki/Greene_County,_Pennsylvania" TargetMode="External"/><Relationship Id="rId5881" Type="http://schemas.openxmlformats.org/officeDocument/2006/relationships/hyperlink" Target="https://en.wikipedia.org/wiki/Newport_News,_Virginia" TargetMode="External"/><Relationship Id="rId3223" Type="http://schemas.openxmlformats.org/officeDocument/2006/relationships/hyperlink" Target="https://en.wikipedia.org/wiki/Deer_Lodge_County,_Montana" TargetMode="External"/><Relationship Id="rId4554" Type="http://schemas.openxmlformats.org/officeDocument/2006/relationships/hyperlink" Target="https://en.wikipedia.org/wiki/Pennsylvania" TargetMode="External"/><Relationship Id="rId5886" Type="http://schemas.openxmlformats.org/officeDocument/2006/relationships/hyperlink" Target="https://en.wikipedia.org/wiki/Virginia" TargetMode="External"/><Relationship Id="rId3222" Type="http://schemas.openxmlformats.org/officeDocument/2006/relationships/hyperlink" Target="https://en.wikipedia.org/wiki/Montana" TargetMode="External"/><Relationship Id="rId4553" Type="http://schemas.openxmlformats.org/officeDocument/2006/relationships/hyperlink" Target="https://en.wikipedia.org/wiki/Huntingdon_County,_Pennsylvania" TargetMode="External"/><Relationship Id="rId5887" Type="http://schemas.openxmlformats.org/officeDocument/2006/relationships/hyperlink" Target="https://en.wikipedia.org/wiki/Petersburg,_Virginia" TargetMode="External"/><Relationship Id="rId3225" Type="http://schemas.openxmlformats.org/officeDocument/2006/relationships/hyperlink" Target="https://en.wikipedia.org/wiki/Fallon_County,_Montana" TargetMode="External"/><Relationship Id="rId4556" Type="http://schemas.openxmlformats.org/officeDocument/2006/relationships/hyperlink" Target="https://en.wikipedia.org/wiki/Pennsylvania" TargetMode="External"/><Relationship Id="rId5884" Type="http://schemas.openxmlformats.org/officeDocument/2006/relationships/hyperlink" Target="https://en.wikipedia.org/wiki/Virginia" TargetMode="External"/><Relationship Id="rId3224" Type="http://schemas.openxmlformats.org/officeDocument/2006/relationships/hyperlink" Target="https://en.wikipedia.org/wiki/Montana" TargetMode="External"/><Relationship Id="rId4555" Type="http://schemas.openxmlformats.org/officeDocument/2006/relationships/hyperlink" Target="https://en.wikipedia.org/wiki/Indiana_County,_Pennsylvania" TargetMode="External"/><Relationship Id="rId5885" Type="http://schemas.openxmlformats.org/officeDocument/2006/relationships/hyperlink" Target="https://en.wikipedia.org/wiki/Norton,_Virginia" TargetMode="External"/><Relationship Id="rId3259" Type="http://schemas.openxmlformats.org/officeDocument/2006/relationships/hyperlink" Target="https://en.wikipedia.org/wiki/Meagher_County,_Montana" TargetMode="External"/><Relationship Id="rId3250" Type="http://schemas.openxmlformats.org/officeDocument/2006/relationships/hyperlink" Target="https://en.wikipedia.org/wiki/Montana" TargetMode="External"/><Relationship Id="rId4581" Type="http://schemas.openxmlformats.org/officeDocument/2006/relationships/hyperlink" Target="https://en.wikipedia.org/wiki/Monroe_County,_Pennsylvania" TargetMode="External"/><Relationship Id="rId4580" Type="http://schemas.openxmlformats.org/officeDocument/2006/relationships/hyperlink" Target="https://en.wikipedia.org/wiki/Pennsylvania" TargetMode="External"/><Relationship Id="rId3252" Type="http://schemas.openxmlformats.org/officeDocument/2006/relationships/hyperlink" Target="https://en.wikipedia.org/wiki/Montana" TargetMode="External"/><Relationship Id="rId4583" Type="http://schemas.openxmlformats.org/officeDocument/2006/relationships/hyperlink" Target="https://en.wikipedia.org/wiki/Montgomery_County,_Pennsylvania" TargetMode="External"/><Relationship Id="rId3251" Type="http://schemas.openxmlformats.org/officeDocument/2006/relationships/hyperlink" Target="https://en.wikipedia.org/wiki/Liberty_County,_Montana" TargetMode="External"/><Relationship Id="rId4582" Type="http://schemas.openxmlformats.org/officeDocument/2006/relationships/hyperlink" Target="https://en.wikipedia.org/wiki/Pennsylvania" TargetMode="External"/><Relationship Id="rId3254" Type="http://schemas.openxmlformats.org/officeDocument/2006/relationships/hyperlink" Target="https://en.wikipedia.org/wiki/Montana" TargetMode="External"/><Relationship Id="rId4585" Type="http://schemas.openxmlformats.org/officeDocument/2006/relationships/hyperlink" Target="https://en.wikipedia.org/wiki/Montour_County,_Pennsylvania" TargetMode="External"/><Relationship Id="rId3253" Type="http://schemas.openxmlformats.org/officeDocument/2006/relationships/hyperlink" Target="https://en.wikipedia.org/wiki/Lincoln_County,_Montana" TargetMode="External"/><Relationship Id="rId4584" Type="http://schemas.openxmlformats.org/officeDocument/2006/relationships/hyperlink" Target="https://en.wikipedia.org/wiki/Pennsylvania" TargetMode="External"/><Relationship Id="rId3256" Type="http://schemas.openxmlformats.org/officeDocument/2006/relationships/hyperlink" Target="https://en.wikipedia.org/wiki/Montana" TargetMode="External"/><Relationship Id="rId4587" Type="http://schemas.openxmlformats.org/officeDocument/2006/relationships/hyperlink" Target="https://en.wikipedia.org/wiki/Northampton_County,_Pennsylvania" TargetMode="External"/><Relationship Id="rId3255" Type="http://schemas.openxmlformats.org/officeDocument/2006/relationships/hyperlink" Target="https://en.wikipedia.org/wiki/McCone_County,_Montana" TargetMode="External"/><Relationship Id="rId4586" Type="http://schemas.openxmlformats.org/officeDocument/2006/relationships/hyperlink" Target="https://en.wikipedia.org/wiki/Pennsylvania" TargetMode="External"/><Relationship Id="rId3258" Type="http://schemas.openxmlformats.org/officeDocument/2006/relationships/hyperlink" Target="https://en.wikipedia.org/wiki/Montana" TargetMode="External"/><Relationship Id="rId4589" Type="http://schemas.openxmlformats.org/officeDocument/2006/relationships/hyperlink" Target="https://en.wikipedia.org/wiki/Northumberland_County,_Pennsylvania" TargetMode="External"/><Relationship Id="rId3257" Type="http://schemas.openxmlformats.org/officeDocument/2006/relationships/hyperlink" Target="https://en.wikipedia.org/wiki/Madison_County,_Montana" TargetMode="External"/><Relationship Id="rId4588" Type="http://schemas.openxmlformats.org/officeDocument/2006/relationships/hyperlink" Target="https://en.wikipedia.org/wiki/Pennsylvania" TargetMode="External"/><Relationship Id="rId3249" Type="http://schemas.openxmlformats.org/officeDocument/2006/relationships/hyperlink" Target="https://en.wikipedia.org/wiki/Lewis_and_Clark_County,_Montana" TargetMode="External"/><Relationship Id="rId3248" Type="http://schemas.openxmlformats.org/officeDocument/2006/relationships/hyperlink" Target="https://en.wikipedia.org/wiki/Montana" TargetMode="External"/><Relationship Id="rId4579" Type="http://schemas.openxmlformats.org/officeDocument/2006/relationships/hyperlink" Target="https://en.wikipedia.org/wiki/Mifflin_County,_Pennsylvania" TargetMode="External"/><Relationship Id="rId4570" Type="http://schemas.openxmlformats.org/officeDocument/2006/relationships/hyperlink" Target="https://en.wikipedia.org/wiki/Pennsylvania" TargetMode="External"/><Relationship Id="rId3241" Type="http://schemas.openxmlformats.org/officeDocument/2006/relationships/hyperlink" Target="https://en.wikipedia.org/wiki/Hill_County,_Montana" TargetMode="External"/><Relationship Id="rId4572" Type="http://schemas.openxmlformats.org/officeDocument/2006/relationships/hyperlink" Target="https://en.wikipedia.org/wiki/Pennsylvania" TargetMode="External"/><Relationship Id="rId3240" Type="http://schemas.openxmlformats.org/officeDocument/2006/relationships/hyperlink" Target="https://en.wikipedia.org/wiki/Montana" TargetMode="External"/><Relationship Id="rId4571" Type="http://schemas.openxmlformats.org/officeDocument/2006/relationships/hyperlink" Target="https://en.wikipedia.org/wiki/Luzerne_County,_Pennsylvania" TargetMode="External"/><Relationship Id="rId3243" Type="http://schemas.openxmlformats.org/officeDocument/2006/relationships/hyperlink" Target="https://en.wikipedia.org/wiki/Jefferson_County,_Montana" TargetMode="External"/><Relationship Id="rId4574" Type="http://schemas.openxmlformats.org/officeDocument/2006/relationships/hyperlink" Target="https://en.wikipedia.org/wiki/Pennsylvania" TargetMode="External"/><Relationship Id="rId3242" Type="http://schemas.openxmlformats.org/officeDocument/2006/relationships/hyperlink" Target="https://en.wikipedia.org/wiki/Montana" TargetMode="External"/><Relationship Id="rId4573" Type="http://schemas.openxmlformats.org/officeDocument/2006/relationships/hyperlink" Target="https://en.wikipedia.org/wiki/Lycoming_County,_Pennsylvania" TargetMode="External"/><Relationship Id="rId3245" Type="http://schemas.openxmlformats.org/officeDocument/2006/relationships/hyperlink" Target="https://en.wikipedia.org/wiki/Judith_Basin_County,_Montana" TargetMode="External"/><Relationship Id="rId4576" Type="http://schemas.openxmlformats.org/officeDocument/2006/relationships/hyperlink" Target="https://en.wikipedia.org/wiki/Pennsylvania" TargetMode="External"/><Relationship Id="rId3244" Type="http://schemas.openxmlformats.org/officeDocument/2006/relationships/hyperlink" Target="https://en.wikipedia.org/wiki/Montana" TargetMode="External"/><Relationship Id="rId4575" Type="http://schemas.openxmlformats.org/officeDocument/2006/relationships/hyperlink" Target="https://en.wikipedia.org/wiki/McKean_County,_Pennsylvania" TargetMode="External"/><Relationship Id="rId3247" Type="http://schemas.openxmlformats.org/officeDocument/2006/relationships/hyperlink" Target="https://en.wikipedia.org/wiki/Lake_County,_Montana" TargetMode="External"/><Relationship Id="rId4578" Type="http://schemas.openxmlformats.org/officeDocument/2006/relationships/hyperlink" Target="https://en.wikipedia.org/wiki/Pennsylvania" TargetMode="External"/><Relationship Id="rId3246" Type="http://schemas.openxmlformats.org/officeDocument/2006/relationships/hyperlink" Target="https://en.wikipedia.org/wiki/Montana" TargetMode="External"/><Relationship Id="rId4577" Type="http://schemas.openxmlformats.org/officeDocument/2006/relationships/hyperlink" Target="https://en.wikipedia.org/wiki/Mercer_County,_Pennsylvania" TargetMode="External"/><Relationship Id="rId4525" Type="http://schemas.openxmlformats.org/officeDocument/2006/relationships/hyperlink" Target="https://en.wikipedia.org/wiki/Clearfield_County,_Pennsylvania" TargetMode="External"/><Relationship Id="rId5857" Type="http://schemas.openxmlformats.org/officeDocument/2006/relationships/hyperlink" Target="https://en.wikipedia.org/wiki/Falls_Church,_Virginia" TargetMode="External"/><Relationship Id="rId4524" Type="http://schemas.openxmlformats.org/officeDocument/2006/relationships/hyperlink" Target="https://en.wikipedia.org/wiki/Pennsylvania" TargetMode="External"/><Relationship Id="rId5858" Type="http://schemas.openxmlformats.org/officeDocument/2006/relationships/hyperlink" Target="https://en.wikipedia.org/wiki/Virginia" TargetMode="External"/><Relationship Id="rId4527" Type="http://schemas.openxmlformats.org/officeDocument/2006/relationships/hyperlink" Target="https://en.wikipedia.org/wiki/Clinton_County,_Pennsylvania" TargetMode="External"/><Relationship Id="rId5855" Type="http://schemas.openxmlformats.org/officeDocument/2006/relationships/hyperlink" Target="https://en.wikipedia.org/wiki/Fairfax,_Virginia" TargetMode="External"/><Relationship Id="rId4526" Type="http://schemas.openxmlformats.org/officeDocument/2006/relationships/hyperlink" Target="https://en.wikipedia.org/wiki/Pennsylvania" TargetMode="External"/><Relationship Id="rId5856" Type="http://schemas.openxmlformats.org/officeDocument/2006/relationships/hyperlink" Target="https://en.wikipedia.org/wiki/Virginia" TargetMode="External"/><Relationship Id="rId4529" Type="http://schemas.openxmlformats.org/officeDocument/2006/relationships/hyperlink" Target="https://en.wikipedia.org/wiki/Columbia_County,_Pennsylvania" TargetMode="External"/><Relationship Id="rId4528" Type="http://schemas.openxmlformats.org/officeDocument/2006/relationships/hyperlink" Target="https://en.wikipedia.org/wiki/Pennsylvania" TargetMode="External"/><Relationship Id="rId5859" Type="http://schemas.openxmlformats.org/officeDocument/2006/relationships/hyperlink" Target="https://en.wikipedia.org/wiki/Franklin,_Virginia" TargetMode="External"/><Relationship Id="rId5850" Type="http://schemas.openxmlformats.org/officeDocument/2006/relationships/hyperlink" Target="https://en.wikipedia.org/wiki/Virginia" TargetMode="External"/><Relationship Id="rId4521" Type="http://schemas.openxmlformats.org/officeDocument/2006/relationships/hyperlink" Target="https://en.wikipedia.org/wiki/Chester_County,_Pennsylvania" TargetMode="External"/><Relationship Id="rId5853" Type="http://schemas.openxmlformats.org/officeDocument/2006/relationships/hyperlink" Target="https://en.wikipedia.org/wiki/Emporia,_Virginia" TargetMode="External"/><Relationship Id="rId4520" Type="http://schemas.openxmlformats.org/officeDocument/2006/relationships/hyperlink" Target="https://en.wikipedia.org/wiki/Pennsylvania" TargetMode="External"/><Relationship Id="rId5854" Type="http://schemas.openxmlformats.org/officeDocument/2006/relationships/hyperlink" Target="https://en.wikipedia.org/wiki/Virginia" TargetMode="External"/><Relationship Id="rId4523" Type="http://schemas.openxmlformats.org/officeDocument/2006/relationships/hyperlink" Target="https://en.wikipedia.org/wiki/Clarion_County,_Pennsylvania" TargetMode="External"/><Relationship Id="rId5851" Type="http://schemas.openxmlformats.org/officeDocument/2006/relationships/hyperlink" Target="https://en.wikipedia.org/wiki/Danville,_Virginia" TargetMode="External"/><Relationship Id="rId4522" Type="http://schemas.openxmlformats.org/officeDocument/2006/relationships/hyperlink" Target="https://en.wikipedia.org/wiki/Pennsylvania" TargetMode="External"/><Relationship Id="rId5852" Type="http://schemas.openxmlformats.org/officeDocument/2006/relationships/hyperlink" Target="https://en.wikipedia.org/wiki/Virginia" TargetMode="External"/><Relationship Id="rId4514" Type="http://schemas.openxmlformats.org/officeDocument/2006/relationships/hyperlink" Target="https://en.wikipedia.org/wiki/Pennsylvania" TargetMode="External"/><Relationship Id="rId5846" Type="http://schemas.openxmlformats.org/officeDocument/2006/relationships/hyperlink" Target="https://en.wikipedia.org/wiki/Virginia" TargetMode="External"/><Relationship Id="rId4513" Type="http://schemas.openxmlformats.org/officeDocument/2006/relationships/hyperlink" Target="https://en.wikipedia.org/wiki/Cambria_County,_Pennsylvania" TargetMode="External"/><Relationship Id="rId5847" Type="http://schemas.openxmlformats.org/officeDocument/2006/relationships/hyperlink" Target="https://en.wikipedia.org/wiki/Colonial_Heights,_Virginia" TargetMode="External"/><Relationship Id="rId4516" Type="http://schemas.openxmlformats.org/officeDocument/2006/relationships/hyperlink" Target="https://en.wikipedia.org/wiki/Pennsylvania" TargetMode="External"/><Relationship Id="rId5844" Type="http://schemas.openxmlformats.org/officeDocument/2006/relationships/hyperlink" Target="https://en.wikipedia.org/wiki/Virginia" TargetMode="External"/><Relationship Id="rId4515" Type="http://schemas.openxmlformats.org/officeDocument/2006/relationships/hyperlink" Target="https://en.wikipedia.org/wiki/Cameron_County,_Pennsylvania" TargetMode="External"/><Relationship Id="rId5845" Type="http://schemas.openxmlformats.org/officeDocument/2006/relationships/hyperlink" Target="https://en.wikipedia.org/wiki/Chesapeake,_Virginia" TargetMode="External"/><Relationship Id="rId4518" Type="http://schemas.openxmlformats.org/officeDocument/2006/relationships/hyperlink" Target="https://en.wikipedia.org/wiki/Pennsylvania" TargetMode="External"/><Relationship Id="rId4517" Type="http://schemas.openxmlformats.org/officeDocument/2006/relationships/hyperlink" Target="https://en.wikipedia.org/wiki/Carbon_County,_Pennsylvania" TargetMode="External"/><Relationship Id="rId5848" Type="http://schemas.openxmlformats.org/officeDocument/2006/relationships/hyperlink" Target="https://en.wikipedia.org/wiki/Virginia" TargetMode="External"/><Relationship Id="rId4519" Type="http://schemas.openxmlformats.org/officeDocument/2006/relationships/hyperlink" Target="https://en.wikipedia.org/wiki/Centre_County,_Pennsylvania" TargetMode="External"/><Relationship Id="rId5849" Type="http://schemas.openxmlformats.org/officeDocument/2006/relationships/hyperlink" Target="https://en.wikipedia.org/wiki/Covington,_Virginia" TargetMode="External"/><Relationship Id="rId4510" Type="http://schemas.openxmlformats.org/officeDocument/2006/relationships/hyperlink" Target="https://en.wikipedia.org/wiki/Pennsylvania" TargetMode="External"/><Relationship Id="rId5842" Type="http://schemas.openxmlformats.org/officeDocument/2006/relationships/hyperlink" Target="https://en.wikipedia.org/wiki/Virginia" TargetMode="External"/><Relationship Id="rId5843" Type="http://schemas.openxmlformats.org/officeDocument/2006/relationships/hyperlink" Target="https://en.wikipedia.org/wiki/Charlottesville,_Virginia" TargetMode="External"/><Relationship Id="rId4512" Type="http://schemas.openxmlformats.org/officeDocument/2006/relationships/hyperlink" Target="https://en.wikipedia.org/wiki/Pennsylvania" TargetMode="External"/><Relationship Id="rId5840" Type="http://schemas.openxmlformats.org/officeDocument/2006/relationships/hyperlink" Target="https://en.wikipedia.org/wiki/Virginia" TargetMode="External"/><Relationship Id="rId4511" Type="http://schemas.openxmlformats.org/officeDocument/2006/relationships/hyperlink" Target="https://en.wikipedia.org/wiki/Butler_County,_Pennsylvania" TargetMode="External"/><Relationship Id="rId5841" Type="http://schemas.openxmlformats.org/officeDocument/2006/relationships/hyperlink" Target="https://en.wikipedia.org/wiki/Buena_Vista,_Virginia" TargetMode="External"/><Relationship Id="rId3216" Type="http://schemas.openxmlformats.org/officeDocument/2006/relationships/hyperlink" Target="https://en.wikipedia.org/wiki/Montana" TargetMode="External"/><Relationship Id="rId4547" Type="http://schemas.openxmlformats.org/officeDocument/2006/relationships/hyperlink" Target="https://en.wikipedia.org/wiki/Franklin_County,_Pennsylvania" TargetMode="External"/><Relationship Id="rId5879" Type="http://schemas.openxmlformats.org/officeDocument/2006/relationships/hyperlink" Target="https://en.wikipedia.org/wiki/Martinsville,_Virginia" TargetMode="External"/><Relationship Id="rId3215" Type="http://schemas.openxmlformats.org/officeDocument/2006/relationships/hyperlink" Target="https://en.wikipedia.org/wiki/Chouteau_County,_Montana" TargetMode="External"/><Relationship Id="rId4546" Type="http://schemas.openxmlformats.org/officeDocument/2006/relationships/hyperlink" Target="https://en.wikipedia.org/wiki/Pennsylvania" TargetMode="External"/><Relationship Id="rId3218" Type="http://schemas.openxmlformats.org/officeDocument/2006/relationships/hyperlink" Target="https://en.wikipedia.org/wiki/Montana" TargetMode="External"/><Relationship Id="rId4549" Type="http://schemas.openxmlformats.org/officeDocument/2006/relationships/hyperlink" Target="https://en.wikipedia.org/wiki/Fulton_County,_Pennsylvania" TargetMode="External"/><Relationship Id="rId5877" Type="http://schemas.openxmlformats.org/officeDocument/2006/relationships/hyperlink" Target="https://en.wikipedia.org/wiki/Manassas_Park,_Virginia" TargetMode="External"/><Relationship Id="rId3217" Type="http://schemas.openxmlformats.org/officeDocument/2006/relationships/hyperlink" Target="https://en.wikipedia.org/wiki/Custer_County,_Montana" TargetMode="External"/><Relationship Id="rId4548" Type="http://schemas.openxmlformats.org/officeDocument/2006/relationships/hyperlink" Target="https://en.wikipedia.org/wiki/Pennsylvania" TargetMode="External"/><Relationship Id="rId5878" Type="http://schemas.openxmlformats.org/officeDocument/2006/relationships/hyperlink" Target="https://en.wikipedia.org/wiki/Virginia" TargetMode="External"/><Relationship Id="rId3219" Type="http://schemas.openxmlformats.org/officeDocument/2006/relationships/hyperlink" Target="https://en.wikipedia.org/wiki/Daniels_County,_Montana" TargetMode="External"/><Relationship Id="rId5871" Type="http://schemas.openxmlformats.org/officeDocument/2006/relationships/hyperlink" Target="https://en.wikipedia.org/wiki/Lexington,_Virginia" TargetMode="External"/><Relationship Id="rId5872" Type="http://schemas.openxmlformats.org/officeDocument/2006/relationships/hyperlink" Target="https://en.wikipedia.org/wiki/Virginia" TargetMode="External"/><Relationship Id="rId3210" Type="http://schemas.openxmlformats.org/officeDocument/2006/relationships/hyperlink" Target="https://en.wikipedia.org/wiki/Montana" TargetMode="External"/><Relationship Id="rId4541" Type="http://schemas.openxmlformats.org/officeDocument/2006/relationships/hyperlink" Target="https://en.wikipedia.org/wiki/Erie_County,_Pennsylvania" TargetMode="External"/><Relationship Id="rId4540" Type="http://schemas.openxmlformats.org/officeDocument/2006/relationships/hyperlink" Target="https://en.wikipedia.org/wiki/Pennsylvania" TargetMode="External"/><Relationship Id="rId5870" Type="http://schemas.openxmlformats.org/officeDocument/2006/relationships/hyperlink" Target="https://en.wikipedia.org/wiki/Virginia" TargetMode="External"/><Relationship Id="rId3212" Type="http://schemas.openxmlformats.org/officeDocument/2006/relationships/hyperlink" Target="https://en.wikipedia.org/wiki/Montana" TargetMode="External"/><Relationship Id="rId4543" Type="http://schemas.openxmlformats.org/officeDocument/2006/relationships/hyperlink" Target="https://en.wikipedia.org/wiki/Fayette_County,_Pennsylvania" TargetMode="External"/><Relationship Id="rId5875" Type="http://schemas.openxmlformats.org/officeDocument/2006/relationships/hyperlink" Target="https://en.wikipedia.org/wiki/Manassas,_Virginia" TargetMode="External"/><Relationship Id="rId3211" Type="http://schemas.openxmlformats.org/officeDocument/2006/relationships/hyperlink" Target="https://en.wikipedia.org/wiki/Carter_County,_Montana" TargetMode="External"/><Relationship Id="rId4542" Type="http://schemas.openxmlformats.org/officeDocument/2006/relationships/hyperlink" Target="https://en.wikipedia.org/wiki/Pennsylvania" TargetMode="External"/><Relationship Id="rId5876" Type="http://schemas.openxmlformats.org/officeDocument/2006/relationships/hyperlink" Target="https://en.wikipedia.org/wiki/Virginia" TargetMode="External"/><Relationship Id="rId3214" Type="http://schemas.openxmlformats.org/officeDocument/2006/relationships/hyperlink" Target="https://en.wikipedia.org/wiki/Montana" TargetMode="External"/><Relationship Id="rId4545" Type="http://schemas.openxmlformats.org/officeDocument/2006/relationships/hyperlink" Target="https://en.wikipedia.org/wiki/Forest_County,_Pennsylvania" TargetMode="External"/><Relationship Id="rId5873" Type="http://schemas.openxmlformats.org/officeDocument/2006/relationships/hyperlink" Target="https://en.wikipedia.org/wiki/Lynchburg,_Virginia" TargetMode="External"/><Relationship Id="rId3213" Type="http://schemas.openxmlformats.org/officeDocument/2006/relationships/hyperlink" Target="https://en.wikipedia.org/wiki/Cascade_County,_Montana" TargetMode="External"/><Relationship Id="rId4544" Type="http://schemas.openxmlformats.org/officeDocument/2006/relationships/hyperlink" Target="https://en.wikipedia.org/wiki/Pennsylvania" TargetMode="External"/><Relationship Id="rId5874" Type="http://schemas.openxmlformats.org/officeDocument/2006/relationships/hyperlink" Target="https://en.wikipedia.org/wiki/Virginia" TargetMode="External"/><Relationship Id="rId3205" Type="http://schemas.openxmlformats.org/officeDocument/2006/relationships/hyperlink" Target="https://en.wikipedia.org/wiki/Blaine_County,_Montana" TargetMode="External"/><Relationship Id="rId4536" Type="http://schemas.openxmlformats.org/officeDocument/2006/relationships/hyperlink" Target="https://en.wikipedia.org/wiki/Pennsylvania" TargetMode="External"/><Relationship Id="rId5868" Type="http://schemas.openxmlformats.org/officeDocument/2006/relationships/hyperlink" Target="https://en.wikipedia.org/wiki/Virginia" TargetMode="External"/><Relationship Id="rId3204" Type="http://schemas.openxmlformats.org/officeDocument/2006/relationships/hyperlink" Target="https://en.wikipedia.org/wiki/Montana" TargetMode="External"/><Relationship Id="rId4535" Type="http://schemas.openxmlformats.org/officeDocument/2006/relationships/hyperlink" Target="https://en.wikipedia.org/wiki/Dauphin_County,_Pennsylvania" TargetMode="External"/><Relationship Id="rId5869" Type="http://schemas.openxmlformats.org/officeDocument/2006/relationships/hyperlink" Target="https://en.wikipedia.org/wiki/Hopewell,_Virginia" TargetMode="External"/><Relationship Id="rId3207" Type="http://schemas.openxmlformats.org/officeDocument/2006/relationships/hyperlink" Target="https://en.wikipedia.org/wiki/Broadwater_County,_Montana" TargetMode="External"/><Relationship Id="rId4538" Type="http://schemas.openxmlformats.org/officeDocument/2006/relationships/hyperlink" Target="https://en.wikipedia.org/wiki/Pennsylvania" TargetMode="External"/><Relationship Id="rId5866" Type="http://schemas.openxmlformats.org/officeDocument/2006/relationships/hyperlink" Target="https://en.wikipedia.org/wiki/Virginia" TargetMode="External"/><Relationship Id="rId3206" Type="http://schemas.openxmlformats.org/officeDocument/2006/relationships/hyperlink" Target="https://en.wikipedia.org/wiki/Montana" TargetMode="External"/><Relationship Id="rId4537" Type="http://schemas.openxmlformats.org/officeDocument/2006/relationships/hyperlink" Target="https://en.wikipedia.org/wiki/Delaware_County,_Pennsylvania" TargetMode="External"/><Relationship Id="rId5867" Type="http://schemas.openxmlformats.org/officeDocument/2006/relationships/hyperlink" Target="https://en.wikipedia.org/wiki/Harrisonburg,_Virginia" TargetMode="External"/><Relationship Id="rId3209" Type="http://schemas.openxmlformats.org/officeDocument/2006/relationships/hyperlink" Target="https://en.wikipedia.org/wiki/Carbon_County,_Montana" TargetMode="External"/><Relationship Id="rId3208" Type="http://schemas.openxmlformats.org/officeDocument/2006/relationships/hyperlink" Target="https://en.wikipedia.org/wiki/Montana" TargetMode="External"/><Relationship Id="rId4539" Type="http://schemas.openxmlformats.org/officeDocument/2006/relationships/hyperlink" Target="https://en.wikipedia.org/wiki/Elk_County,_Pennsylvania" TargetMode="External"/><Relationship Id="rId5860" Type="http://schemas.openxmlformats.org/officeDocument/2006/relationships/hyperlink" Target="https://en.wikipedia.org/wiki/Virginia" TargetMode="External"/><Relationship Id="rId5861" Type="http://schemas.openxmlformats.org/officeDocument/2006/relationships/hyperlink" Target="https://en.wikipedia.org/wiki/Fredericksburg,_Virginia" TargetMode="External"/><Relationship Id="rId4530" Type="http://schemas.openxmlformats.org/officeDocument/2006/relationships/hyperlink" Target="https://en.wikipedia.org/wiki/Pennsylvania" TargetMode="External"/><Relationship Id="rId3201" Type="http://schemas.openxmlformats.org/officeDocument/2006/relationships/hyperlink" Target="https://en.wikipedia.org/wiki/Beaverhead_County,_Montana" TargetMode="External"/><Relationship Id="rId4532" Type="http://schemas.openxmlformats.org/officeDocument/2006/relationships/hyperlink" Target="https://en.wikipedia.org/wiki/Pennsylvania" TargetMode="External"/><Relationship Id="rId5864" Type="http://schemas.openxmlformats.org/officeDocument/2006/relationships/hyperlink" Target="https://en.wikipedia.org/wiki/Virginia" TargetMode="External"/><Relationship Id="rId3200" Type="http://schemas.openxmlformats.org/officeDocument/2006/relationships/hyperlink" Target="https://en.wikipedia.org/wiki/Montana" TargetMode="External"/><Relationship Id="rId4531" Type="http://schemas.openxmlformats.org/officeDocument/2006/relationships/hyperlink" Target="https://en.wikipedia.org/wiki/Crawford_County,_Pennsylvania" TargetMode="External"/><Relationship Id="rId5865" Type="http://schemas.openxmlformats.org/officeDocument/2006/relationships/hyperlink" Target="https://en.wikipedia.org/wiki/Hampton,_Virginia" TargetMode="External"/><Relationship Id="rId3203" Type="http://schemas.openxmlformats.org/officeDocument/2006/relationships/hyperlink" Target="https://en.wikipedia.org/wiki/Big_Horn_County,_Montana" TargetMode="External"/><Relationship Id="rId4534" Type="http://schemas.openxmlformats.org/officeDocument/2006/relationships/hyperlink" Target="https://en.wikipedia.org/wiki/Pennsylvania" TargetMode="External"/><Relationship Id="rId5862" Type="http://schemas.openxmlformats.org/officeDocument/2006/relationships/hyperlink" Target="https://en.wikipedia.org/wiki/Virginia" TargetMode="External"/><Relationship Id="rId3202" Type="http://schemas.openxmlformats.org/officeDocument/2006/relationships/hyperlink" Target="https://en.wikipedia.org/wiki/Montana" TargetMode="External"/><Relationship Id="rId4533" Type="http://schemas.openxmlformats.org/officeDocument/2006/relationships/hyperlink" Target="https://en.wikipedia.org/wiki/Cumberland_County,_Pennsylvania" TargetMode="External"/><Relationship Id="rId5863" Type="http://schemas.openxmlformats.org/officeDocument/2006/relationships/hyperlink" Target="https://en.wikipedia.org/wiki/Galax,_Virginia" TargetMode="External"/><Relationship Id="rId190" Type="http://schemas.openxmlformats.org/officeDocument/2006/relationships/hyperlink" Target="https://en.wikipedia.org/wiki/Alaska" TargetMode="External"/><Relationship Id="rId194" Type="http://schemas.openxmlformats.org/officeDocument/2006/relationships/hyperlink" Target="https://en.wikipedia.org/wiki/Alaska" TargetMode="External"/><Relationship Id="rId193" Type="http://schemas.openxmlformats.org/officeDocument/2006/relationships/hyperlink" Target="https://en.wikipedia.org/wiki/Yakutat,_Alaska" TargetMode="External"/><Relationship Id="rId192" Type="http://schemas.openxmlformats.org/officeDocument/2006/relationships/hyperlink" Target="https://en.wikipedia.org/wiki/Alaska" TargetMode="External"/><Relationship Id="rId191" Type="http://schemas.openxmlformats.org/officeDocument/2006/relationships/hyperlink" Target="https://en.wikipedia.org/wiki/Wrangell,_Alaska" TargetMode="External"/><Relationship Id="rId187" Type="http://schemas.openxmlformats.org/officeDocument/2006/relationships/hyperlink" Target="https://en.wikipedia.org/wiki/Valdez-Cordova_Census_Area,_Alaska" TargetMode="External"/><Relationship Id="rId186" Type="http://schemas.openxmlformats.org/officeDocument/2006/relationships/hyperlink" Target="https://en.wikipedia.org/wiki/Alaska" TargetMode="External"/><Relationship Id="rId185" Type="http://schemas.openxmlformats.org/officeDocument/2006/relationships/hyperlink" Target="https://en.wikipedia.org/wiki/Southeast_Fairbanks_Census_Area,_Alaska" TargetMode="External"/><Relationship Id="rId184" Type="http://schemas.openxmlformats.org/officeDocument/2006/relationships/hyperlink" Target="https://en.wikipedia.org/wiki/Alaska" TargetMode="External"/><Relationship Id="rId189" Type="http://schemas.openxmlformats.org/officeDocument/2006/relationships/hyperlink" Target="https://en.wikipedia.org/wiki/Wade_Hampton_Census_Area,_Alaska" TargetMode="External"/><Relationship Id="rId188" Type="http://schemas.openxmlformats.org/officeDocument/2006/relationships/hyperlink" Target="https://en.wikipedia.org/wiki/Alaska" TargetMode="External"/><Relationship Id="rId183" Type="http://schemas.openxmlformats.org/officeDocument/2006/relationships/hyperlink" Target="https://en.wikipedia.org/wiki/Skagway,_Alaska" TargetMode="External"/><Relationship Id="rId182" Type="http://schemas.openxmlformats.org/officeDocument/2006/relationships/hyperlink" Target="https://en.wikipedia.org/wiki/Alaska" TargetMode="External"/><Relationship Id="rId181" Type="http://schemas.openxmlformats.org/officeDocument/2006/relationships/hyperlink" Target="https://en.wikipedia.org/wiki/Sitka,_Alaska" TargetMode="External"/><Relationship Id="rId180" Type="http://schemas.openxmlformats.org/officeDocument/2006/relationships/hyperlink" Target="https://en.wikipedia.org/wiki/Alaska" TargetMode="External"/><Relationship Id="rId176" Type="http://schemas.openxmlformats.org/officeDocument/2006/relationships/hyperlink" Target="https://en.wikipedia.org/wiki/Alaska" TargetMode="External"/><Relationship Id="rId175" Type="http://schemas.openxmlformats.org/officeDocument/2006/relationships/hyperlink" Target="https://en.wikipedia.org/wiki/Northwest_Arctic_Borough,_Alaska" TargetMode="External"/><Relationship Id="rId174" Type="http://schemas.openxmlformats.org/officeDocument/2006/relationships/hyperlink" Target="https://en.wikipedia.org/wiki/Alaska" TargetMode="External"/><Relationship Id="rId173" Type="http://schemas.openxmlformats.org/officeDocument/2006/relationships/hyperlink" Target="https://en.wikipedia.org/wiki/North_Slope_Borough,_Alaska" TargetMode="External"/><Relationship Id="rId179" Type="http://schemas.openxmlformats.org/officeDocument/2006/relationships/hyperlink" Target="https://en.wikipedia.org/wiki/Prince_of_Wales_%E2%80%93_Hyder_Census_Area,_Alaska" TargetMode="External"/><Relationship Id="rId178" Type="http://schemas.openxmlformats.org/officeDocument/2006/relationships/hyperlink" Target="https://en.wikipedia.org/wiki/Alaska" TargetMode="External"/><Relationship Id="rId177" Type="http://schemas.openxmlformats.org/officeDocument/2006/relationships/hyperlink" Target="https://en.wikipedia.org/wiki/Petersburg_Census_Area,_Alaska" TargetMode="External"/><Relationship Id="rId198" Type="http://schemas.openxmlformats.org/officeDocument/2006/relationships/hyperlink" Target="https://en.wikipedia.org/wiki/Arizona" TargetMode="External"/><Relationship Id="rId197" Type="http://schemas.openxmlformats.org/officeDocument/2006/relationships/hyperlink" Target="https://en.wikipedia.org/wiki/Apache_County,_Arizona" TargetMode="External"/><Relationship Id="rId196" Type="http://schemas.openxmlformats.org/officeDocument/2006/relationships/hyperlink" Target="https://en.wikipedia.org/wiki/Arizona" TargetMode="External"/><Relationship Id="rId195" Type="http://schemas.openxmlformats.org/officeDocument/2006/relationships/hyperlink" Target="https://en.wikipedia.org/wiki/Yukon-Koyukuk_Census_Area,_Alaska" TargetMode="External"/><Relationship Id="rId199" Type="http://schemas.openxmlformats.org/officeDocument/2006/relationships/hyperlink" Target="https://en.wikipedia.org/wiki/Cochise_County,_Arizona" TargetMode="External"/><Relationship Id="rId150" Type="http://schemas.openxmlformats.org/officeDocument/2006/relationships/hyperlink" Target="https://en.wikipedia.org/wiki/Alaska" TargetMode="External"/><Relationship Id="rId149" Type="http://schemas.openxmlformats.org/officeDocument/2006/relationships/hyperlink" Target="https://en.wikipedia.org/wiki/Denali_Borough,_Alaska" TargetMode="External"/><Relationship Id="rId148" Type="http://schemas.openxmlformats.org/officeDocument/2006/relationships/hyperlink" Target="https://en.wikipedia.org/wiki/Alaska" TargetMode="External"/><Relationship Id="rId3270" Type="http://schemas.openxmlformats.org/officeDocument/2006/relationships/hyperlink" Target="https://en.wikipedia.org/wiki/Montana" TargetMode="External"/><Relationship Id="rId3272" Type="http://schemas.openxmlformats.org/officeDocument/2006/relationships/hyperlink" Target="https://en.wikipedia.org/wiki/Montana" TargetMode="External"/><Relationship Id="rId3271" Type="http://schemas.openxmlformats.org/officeDocument/2006/relationships/hyperlink" Target="https://en.wikipedia.org/wiki/Phillips_County,_Montana" TargetMode="External"/><Relationship Id="rId143" Type="http://schemas.openxmlformats.org/officeDocument/2006/relationships/hyperlink" Target="https://en.wikipedia.org/wiki/Anchorage,_Alaska" TargetMode="External"/><Relationship Id="rId3274" Type="http://schemas.openxmlformats.org/officeDocument/2006/relationships/hyperlink" Target="https://en.wikipedia.org/wiki/Montana" TargetMode="External"/><Relationship Id="rId142" Type="http://schemas.openxmlformats.org/officeDocument/2006/relationships/hyperlink" Target="https://en.wikipedia.org/wiki/Alaska" TargetMode="External"/><Relationship Id="rId3273" Type="http://schemas.openxmlformats.org/officeDocument/2006/relationships/hyperlink" Target="https://en.wikipedia.org/wiki/Pondera_County,_Montana" TargetMode="External"/><Relationship Id="rId141" Type="http://schemas.openxmlformats.org/officeDocument/2006/relationships/hyperlink" Target="https://en.wikipedia.org/wiki/Aleutians_West_Census_Area,_Alaska" TargetMode="External"/><Relationship Id="rId3276" Type="http://schemas.openxmlformats.org/officeDocument/2006/relationships/hyperlink" Target="https://en.wikipedia.org/wiki/Montana" TargetMode="External"/><Relationship Id="rId140" Type="http://schemas.openxmlformats.org/officeDocument/2006/relationships/hyperlink" Target="https://en.wikipedia.org/wiki/Alaska" TargetMode="External"/><Relationship Id="rId3275" Type="http://schemas.openxmlformats.org/officeDocument/2006/relationships/hyperlink" Target="https://en.wikipedia.org/wiki/Powder_River_County,_Montana" TargetMode="External"/><Relationship Id="rId147" Type="http://schemas.openxmlformats.org/officeDocument/2006/relationships/hyperlink" Target="https://en.wikipedia.org/wiki/Bristol_Bay_Borough,_Alaska" TargetMode="External"/><Relationship Id="rId3278" Type="http://schemas.openxmlformats.org/officeDocument/2006/relationships/hyperlink" Target="https://en.wikipedia.org/wiki/Montana" TargetMode="External"/><Relationship Id="rId146" Type="http://schemas.openxmlformats.org/officeDocument/2006/relationships/hyperlink" Target="https://en.wikipedia.org/wiki/Alaska" TargetMode="External"/><Relationship Id="rId3277" Type="http://schemas.openxmlformats.org/officeDocument/2006/relationships/hyperlink" Target="https://en.wikipedia.org/wiki/Powell_County,_Montana" TargetMode="External"/><Relationship Id="rId145" Type="http://schemas.openxmlformats.org/officeDocument/2006/relationships/hyperlink" Target="https://en.wikipedia.org/wiki/Bethel_Census_Area,_Alaska" TargetMode="External"/><Relationship Id="rId144" Type="http://schemas.openxmlformats.org/officeDocument/2006/relationships/hyperlink" Target="https://en.wikipedia.org/wiki/Alaska" TargetMode="External"/><Relationship Id="rId3279" Type="http://schemas.openxmlformats.org/officeDocument/2006/relationships/hyperlink" Target="https://en.wikipedia.org/wiki/Prairie_County,_Montana" TargetMode="External"/><Relationship Id="rId139" Type="http://schemas.openxmlformats.org/officeDocument/2006/relationships/hyperlink" Target="https://en.wikipedia.org/wiki/Aleutians_East_Borough,_Alaska" TargetMode="External"/><Relationship Id="rId138" Type="http://schemas.openxmlformats.org/officeDocument/2006/relationships/hyperlink" Target="https://en.wikipedia.org/wiki/Alaska" TargetMode="External"/><Relationship Id="rId137" Type="http://schemas.openxmlformats.org/officeDocument/2006/relationships/hyperlink" Target="https://en.wikipedia.org/wiki/Winston_County,_Alabama" TargetMode="External"/><Relationship Id="rId4590" Type="http://schemas.openxmlformats.org/officeDocument/2006/relationships/hyperlink" Target="https://en.wikipedia.org/wiki/Pennsylvania" TargetMode="External"/><Relationship Id="rId3261" Type="http://schemas.openxmlformats.org/officeDocument/2006/relationships/hyperlink" Target="https://en.wikipedia.org/wiki/Mineral_County,_Montana" TargetMode="External"/><Relationship Id="rId4592" Type="http://schemas.openxmlformats.org/officeDocument/2006/relationships/hyperlink" Target="https://en.wikipedia.org/wiki/Pennsylvania" TargetMode="External"/><Relationship Id="rId3260" Type="http://schemas.openxmlformats.org/officeDocument/2006/relationships/hyperlink" Target="https://en.wikipedia.org/wiki/Montana" TargetMode="External"/><Relationship Id="rId4591" Type="http://schemas.openxmlformats.org/officeDocument/2006/relationships/hyperlink" Target="https://en.wikipedia.org/wiki/Perry_County,_Pennsylvania" TargetMode="External"/><Relationship Id="rId132" Type="http://schemas.openxmlformats.org/officeDocument/2006/relationships/hyperlink" Target="https://en.wikipedia.org/wiki/Alabama" TargetMode="External"/><Relationship Id="rId3263" Type="http://schemas.openxmlformats.org/officeDocument/2006/relationships/hyperlink" Target="https://en.wikipedia.org/wiki/Missoula_County,_Montana" TargetMode="External"/><Relationship Id="rId4594" Type="http://schemas.openxmlformats.org/officeDocument/2006/relationships/hyperlink" Target="https://en.wikipedia.org/wiki/Pennsylvania" TargetMode="External"/><Relationship Id="rId131" Type="http://schemas.openxmlformats.org/officeDocument/2006/relationships/hyperlink" Target="https://en.wikipedia.org/wiki/Walker_County,_Alabama" TargetMode="External"/><Relationship Id="rId3262" Type="http://schemas.openxmlformats.org/officeDocument/2006/relationships/hyperlink" Target="https://en.wikipedia.org/wiki/Montana" TargetMode="External"/><Relationship Id="rId4593" Type="http://schemas.openxmlformats.org/officeDocument/2006/relationships/hyperlink" Target="https://en.wikipedia.org/wiki/Philadelphia_County,_Pennsylvania" TargetMode="External"/><Relationship Id="rId130" Type="http://schemas.openxmlformats.org/officeDocument/2006/relationships/hyperlink" Target="https://en.wikipedia.org/wiki/Alabama" TargetMode="External"/><Relationship Id="rId3265" Type="http://schemas.openxmlformats.org/officeDocument/2006/relationships/hyperlink" Target="https://en.wikipedia.org/wiki/Musselshell_County,_Montana" TargetMode="External"/><Relationship Id="rId4596" Type="http://schemas.openxmlformats.org/officeDocument/2006/relationships/hyperlink" Target="https://en.wikipedia.org/wiki/Pennsylvania" TargetMode="External"/><Relationship Id="rId3264" Type="http://schemas.openxmlformats.org/officeDocument/2006/relationships/hyperlink" Target="https://en.wikipedia.org/wiki/Montana" TargetMode="External"/><Relationship Id="rId4595" Type="http://schemas.openxmlformats.org/officeDocument/2006/relationships/hyperlink" Target="https://en.wikipedia.org/wiki/Pike_County,_Pennsylvania" TargetMode="External"/><Relationship Id="rId136" Type="http://schemas.openxmlformats.org/officeDocument/2006/relationships/hyperlink" Target="https://en.wikipedia.org/wiki/Alabama" TargetMode="External"/><Relationship Id="rId3267" Type="http://schemas.openxmlformats.org/officeDocument/2006/relationships/hyperlink" Target="https://en.wikipedia.org/wiki/Park_County,_Montana" TargetMode="External"/><Relationship Id="rId4598" Type="http://schemas.openxmlformats.org/officeDocument/2006/relationships/hyperlink" Target="https://en.wikipedia.org/wiki/Pennsylvania" TargetMode="External"/><Relationship Id="rId135" Type="http://schemas.openxmlformats.org/officeDocument/2006/relationships/hyperlink" Target="https://en.wikipedia.org/wiki/Wilcox_County,_Alabama" TargetMode="External"/><Relationship Id="rId3266" Type="http://schemas.openxmlformats.org/officeDocument/2006/relationships/hyperlink" Target="https://en.wikipedia.org/wiki/Montana" TargetMode="External"/><Relationship Id="rId4597" Type="http://schemas.openxmlformats.org/officeDocument/2006/relationships/hyperlink" Target="https://en.wikipedia.org/wiki/Potter_County,_Pennsylvania" TargetMode="External"/><Relationship Id="rId134" Type="http://schemas.openxmlformats.org/officeDocument/2006/relationships/hyperlink" Target="https://en.wikipedia.org/wiki/Alabama" TargetMode="External"/><Relationship Id="rId3269" Type="http://schemas.openxmlformats.org/officeDocument/2006/relationships/hyperlink" Target="https://en.wikipedia.org/wiki/Petroleum_County,_Montana" TargetMode="External"/><Relationship Id="rId133" Type="http://schemas.openxmlformats.org/officeDocument/2006/relationships/hyperlink" Target="https://en.wikipedia.org/wiki/Washington_County,_Alabama" TargetMode="External"/><Relationship Id="rId3268" Type="http://schemas.openxmlformats.org/officeDocument/2006/relationships/hyperlink" Target="https://en.wikipedia.org/wiki/Montana" TargetMode="External"/><Relationship Id="rId4599" Type="http://schemas.openxmlformats.org/officeDocument/2006/relationships/hyperlink" Target="https://en.wikipedia.org/wiki/Schuylkill_County,_Pennsylvania" TargetMode="External"/><Relationship Id="rId172" Type="http://schemas.openxmlformats.org/officeDocument/2006/relationships/hyperlink" Target="https://en.wikipedia.org/wiki/Alaska" TargetMode="External"/><Relationship Id="rId171" Type="http://schemas.openxmlformats.org/officeDocument/2006/relationships/hyperlink" Target="https://en.wikipedia.org/wiki/Nome_Census_Area,_Alaska" TargetMode="External"/><Relationship Id="rId170" Type="http://schemas.openxmlformats.org/officeDocument/2006/relationships/hyperlink" Target="https://en.wikipedia.org/wiki/Alaska" TargetMode="External"/><Relationship Id="rId3290" Type="http://schemas.openxmlformats.org/officeDocument/2006/relationships/hyperlink" Target="https://en.wikipedia.org/wiki/Montana" TargetMode="External"/><Relationship Id="rId3292" Type="http://schemas.openxmlformats.org/officeDocument/2006/relationships/hyperlink" Target="https://en.wikipedia.org/wiki/Montana" TargetMode="External"/><Relationship Id="rId3291" Type="http://schemas.openxmlformats.org/officeDocument/2006/relationships/hyperlink" Target="https://en.wikipedia.org/wiki/Sheridan_County,_Montana" TargetMode="External"/><Relationship Id="rId3294" Type="http://schemas.openxmlformats.org/officeDocument/2006/relationships/hyperlink" Target="https://en.wikipedia.org/wiki/Montana" TargetMode="External"/><Relationship Id="rId3293" Type="http://schemas.openxmlformats.org/officeDocument/2006/relationships/hyperlink" Target="https://en.wikipedia.org/wiki/Silver_Bow_County,_Montana" TargetMode="External"/><Relationship Id="rId165" Type="http://schemas.openxmlformats.org/officeDocument/2006/relationships/hyperlink" Target="https://en.wikipedia.org/wiki/Kodiak_Island_Borough,_Alaska" TargetMode="External"/><Relationship Id="rId3296" Type="http://schemas.openxmlformats.org/officeDocument/2006/relationships/hyperlink" Target="https://en.wikipedia.org/wiki/Montana" TargetMode="External"/><Relationship Id="rId164" Type="http://schemas.openxmlformats.org/officeDocument/2006/relationships/hyperlink" Target="https://en.wikipedia.org/wiki/Alaska" TargetMode="External"/><Relationship Id="rId3295" Type="http://schemas.openxmlformats.org/officeDocument/2006/relationships/hyperlink" Target="https://en.wikipedia.org/wiki/Stillwater_County,_Montana" TargetMode="External"/><Relationship Id="rId163" Type="http://schemas.openxmlformats.org/officeDocument/2006/relationships/hyperlink" Target="https://en.wikipedia.org/wiki/Ketchikan_Gateway_Borough,_Alaska" TargetMode="External"/><Relationship Id="rId3298" Type="http://schemas.openxmlformats.org/officeDocument/2006/relationships/hyperlink" Target="https://en.wikipedia.org/wiki/Montana" TargetMode="External"/><Relationship Id="rId162" Type="http://schemas.openxmlformats.org/officeDocument/2006/relationships/hyperlink" Target="https://en.wikipedia.org/wiki/Alaska" TargetMode="External"/><Relationship Id="rId3297" Type="http://schemas.openxmlformats.org/officeDocument/2006/relationships/hyperlink" Target="https://en.wikipedia.org/wiki/Sweet_Grass_County,_Montana" TargetMode="External"/><Relationship Id="rId169" Type="http://schemas.openxmlformats.org/officeDocument/2006/relationships/hyperlink" Target="https://en.wikipedia.org/wiki/Matanuska-Susitna_Borough,_Alaska" TargetMode="External"/><Relationship Id="rId168" Type="http://schemas.openxmlformats.org/officeDocument/2006/relationships/hyperlink" Target="https://en.wikipedia.org/wiki/Alaska" TargetMode="External"/><Relationship Id="rId3299" Type="http://schemas.openxmlformats.org/officeDocument/2006/relationships/hyperlink" Target="https://en.wikipedia.org/wiki/Teton_County,_Montana" TargetMode="External"/><Relationship Id="rId167" Type="http://schemas.openxmlformats.org/officeDocument/2006/relationships/hyperlink" Target="https://en.wikipedia.org/wiki/Lake_and_Peninsula_Borough,_Alaska" TargetMode="External"/><Relationship Id="rId166" Type="http://schemas.openxmlformats.org/officeDocument/2006/relationships/hyperlink" Target="https://en.wikipedia.org/wiki/Alaska" TargetMode="External"/><Relationship Id="rId161" Type="http://schemas.openxmlformats.org/officeDocument/2006/relationships/hyperlink" Target="https://en.wikipedia.org/wiki/Kenai_Peninsula_Borough,_Alaska" TargetMode="External"/><Relationship Id="rId160" Type="http://schemas.openxmlformats.org/officeDocument/2006/relationships/hyperlink" Target="https://en.wikipedia.org/wiki/Alaska" TargetMode="External"/><Relationship Id="rId159" Type="http://schemas.openxmlformats.org/officeDocument/2006/relationships/hyperlink" Target="https://en.wikipedia.org/wiki/Juneau,_Alaska" TargetMode="External"/><Relationship Id="rId3281" Type="http://schemas.openxmlformats.org/officeDocument/2006/relationships/hyperlink" Target="https://en.wikipedia.org/wiki/Ravalli_County,_Montana" TargetMode="External"/><Relationship Id="rId3280" Type="http://schemas.openxmlformats.org/officeDocument/2006/relationships/hyperlink" Target="https://en.wikipedia.org/wiki/Montana" TargetMode="External"/><Relationship Id="rId3283" Type="http://schemas.openxmlformats.org/officeDocument/2006/relationships/hyperlink" Target="https://en.wikipedia.org/wiki/Richland_County,_Montana" TargetMode="External"/><Relationship Id="rId3282" Type="http://schemas.openxmlformats.org/officeDocument/2006/relationships/hyperlink" Target="https://en.wikipedia.org/wiki/Montana" TargetMode="External"/><Relationship Id="rId154" Type="http://schemas.openxmlformats.org/officeDocument/2006/relationships/hyperlink" Target="https://en.wikipedia.org/wiki/Alaska" TargetMode="External"/><Relationship Id="rId3285" Type="http://schemas.openxmlformats.org/officeDocument/2006/relationships/hyperlink" Target="https://en.wikipedia.org/wiki/Roosevelt_County,_Montana" TargetMode="External"/><Relationship Id="rId153" Type="http://schemas.openxmlformats.org/officeDocument/2006/relationships/hyperlink" Target="https://en.wikipedia.org/wiki/Fairbanks_North_Star_Borough,_Alaska" TargetMode="External"/><Relationship Id="rId3284" Type="http://schemas.openxmlformats.org/officeDocument/2006/relationships/hyperlink" Target="https://en.wikipedia.org/wiki/Montana" TargetMode="External"/><Relationship Id="rId152" Type="http://schemas.openxmlformats.org/officeDocument/2006/relationships/hyperlink" Target="https://en.wikipedia.org/wiki/Alaska" TargetMode="External"/><Relationship Id="rId3287" Type="http://schemas.openxmlformats.org/officeDocument/2006/relationships/hyperlink" Target="https://en.wikipedia.org/wiki/Rosebud_County,_Montana" TargetMode="External"/><Relationship Id="rId151" Type="http://schemas.openxmlformats.org/officeDocument/2006/relationships/hyperlink" Target="https://en.wikipedia.org/wiki/Dillingham_Census_Area,_Alaska" TargetMode="External"/><Relationship Id="rId3286" Type="http://schemas.openxmlformats.org/officeDocument/2006/relationships/hyperlink" Target="https://en.wikipedia.org/wiki/Montana" TargetMode="External"/><Relationship Id="rId158" Type="http://schemas.openxmlformats.org/officeDocument/2006/relationships/hyperlink" Target="https://en.wikipedia.org/wiki/Alaska" TargetMode="External"/><Relationship Id="rId3289" Type="http://schemas.openxmlformats.org/officeDocument/2006/relationships/hyperlink" Target="https://en.wikipedia.org/wiki/Sanders_County,_Montana" TargetMode="External"/><Relationship Id="rId157" Type="http://schemas.openxmlformats.org/officeDocument/2006/relationships/hyperlink" Target="https://en.wikipedia.org/wiki/Hoonah%E2%80%93Angoon_Census_Area,_Alaska" TargetMode="External"/><Relationship Id="rId3288" Type="http://schemas.openxmlformats.org/officeDocument/2006/relationships/hyperlink" Target="https://en.wikipedia.org/wiki/Montana" TargetMode="External"/><Relationship Id="rId156" Type="http://schemas.openxmlformats.org/officeDocument/2006/relationships/hyperlink" Target="https://en.wikipedia.org/wiki/Alaska" TargetMode="External"/><Relationship Id="rId155" Type="http://schemas.openxmlformats.org/officeDocument/2006/relationships/hyperlink" Target="https://en.wikipedia.org/wiki/Haines_Borough,_Alaska" TargetMode="External"/><Relationship Id="rId4602" Type="http://schemas.openxmlformats.org/officeDocument/2006/relationships/hyperlink" Target="https://en.wikipedia.org/wiki/Pennsylvania" TargetMode="External"/><Relationship Id="rId5934" Type="http://schemas.openxmlformats.org/officeDocument/2006/relationships/hyperlink" Target="https://en.wikipedia.org/wiki/Washington" TargetMode="External"/><Relationship Id="rId4601" Type="http://schemas.openxmlformats.org/officeDocument/2006/relationships/hyperlink" Target="https://en.wikipedia.org/wiki/Snyder_County,_Pennsylvania" TargetMode="External"/><Relationship Id="rId5935" Type="http://schemas.openxmlformats.org/officeDocument/2006/relationships/hyperlink" Target="https://en.wikipedia.org/wiki/Garfield_County,_Washington" TargetMode="External"/><Relationship Id="rId4604" Type="http://schemas.openxmlformats.org/officeDocument/2006/relationships/hyperlink" Target="https://en.wikipedia.org/wiki/Pennsylvania" TargetMode="External"/><Relationship Id="rId5932" Type="http://schemas.openxmlformats.org/officeDocument/2006/relationships/hyperlink" Target="https://en.wikipedia.org/wiki/Washington" TargetMode="External"/><Relationship Id="rId4603" Type="http://schemas.openxmlformats.org/officeDocument/2006/relationships/hyperlink" Target="https://en.wikipedia.org/wiki/Somerset_County,_Pennsylvania" TargetMode="External"/><Relationship Id="rId5933" Type="http://schemas.openxmlformats.org/officeDocument/2006/relationships/hyperlink" Target="https://en.wikipedia.org/wiki/Franklin_County,_Washington" TargetMode="External"/><Relationship Id="rId4606" Type="http://schemas.openxmlformats.org/officeDocument/2006/relationships/hyperlink" Target="https://en.wikipedia.org/wiki/Pennsylvania" TargetMode="External"/><Relationship Id="rId5938" Type="http://schemas.openxmlformats.org/officeDocument/2006/relationships/hyperlink" Target="https://en.wikipedia.org/wiki/Washington" TargetMode="External"/><Relationship Id="rId4605" Type="http://schemas.openxmlformats.org/officeDocument/2006/relationships/hyperlink" Target="https://en.wikipedia.org/wiki/Sullivan_County,_Pennsylvania" TargetMode="External"/><Relationship Id="rId5939" Type="http://schemas.openxmlformats.org/officeDocument/2006/relationships/hyperlink" Target="https://en.wikipedia.org/wiki/Grays_Harbor_County,_Washington" TargetMode="External"/><Relationship Id="rId4608" Type="http://schemas.openxmlformats.org/officeDocument/2006/relationships/hyperlink" Target="https://en.wikipedia.org/wiki/Pennsylvania" TargetMode="External"/><Relationship Id="rId5936" Type="http://schemas.openxmlformats.org/officeDocument/2006/relationships/hyperlink" Target="https://en.wikipedia.org/wiki/Washington" TargetMode="External"/><Relationship Id="rId4607" Type="http://schemas.openxmlformats.org/officeDocument/2006/relationships/hyperlink" Target="https://en.wikipedia.org/wiki/Susquehanna_County,_Pennsylvania" TargetMode="External"/><Relationship Id="rId5937" Type="http://schemas.openxmlformats.org/officeDocument/2006/relationships/hyperlink" Target="https://en.wikipedia.org/wiki/Grant_County,_Washington" TargetMode="External"/><Relationship Id="rId4609" Type="http://schemas.openxmlformats.org/officeDocument/2006/relationships/hyperlink" Target="https://en.wikipedia.org/wiki/Tioga_County,_Pennsylvania" TargetMode="External"/><Relationship Id="rId5930" Type="http://schemas.openxmlformats.org/officeDocument/2006/relationships/hyperlink" Target="https://en.wikipedia.org/wiki/Washington" TargetMode="External"/><Relationship Id="rId5931" Type="http://schemas.openxmlformats.org/officeDocument/2006/relationships/hyperlink" Target="https://en.wikipedia.org/wiki/Ferry_County,_Washington" TargetMode="External"/><Relationship Id="rId4600" Type="http://schemas.openxmlformats.org/officeDocument/2006/relationships/hyperlink" Target="https://en.wikipedia.org/wiki/Pennsylvania" TargetMode="External"/><Relationship Id="rId5923" Type="http://schemas.openxmlformats.org/officeDocument/2006/relationships/hyperlink" Target="https://en.wikipedia.org/wiki/Clark_County,_Washington" TargetMode="External"/><Relationship Id="rId5924" Type="http://schemas.openxmlformats.org/officeDocument/2006/relationships/hyperlink" Target="https://en.wikipedia.org/wiki/Washington" TargetMode="External"/><Relationship Id="rId5921" Type="http://schemas.openxmlformats.org/officeDocument/2006/relationships/hyperlink" Target="https://en.wikipedia.org/wiki/Clallam_County,_Washington" TargetMode="External"/><Relationship Id="rId5922" Type="http://schemas.openxmlformats.org/officeDocument/2006/relationships/hyperlink" Target="https://en.wikipedia.org/wiki/Washington" TargetMode="External"/><Relationship Id="rId5927" Type="http://schemas.openxmlformats.org/officeDocument/2006/relationships/hyperlink" Target="https://en.wikipedia.org/wiki/Cowlitz_County,_Washington" TargetMode="External"/><Relationship Id="rId5928" Type="http://schemas.openxmlformats.org/officeDocument/2006/relationships/hyperlink" Target="https://en.wikipedia.org/wiki/Washington" TargetMode="External"/><Relationship Id="rId5925" Type="http://schemas.openxmlformats.org/officeDocument/2006/relationships/hyperlink" Target="https://en.wikipedia.org/wiki/Columbia_County,_Washington" TargetMode="External"/><Relationship Id="rId5926" Type="http://schemas.openxmlformats.org/officeDocument/2006/relationships/hyperlink" Target="https://en.wikipedia.org/wiki/Washington" TargetMode="External"/><Relationship Id="rId5929" Type="http://schemas.openxmlformats.org/officeDocument/2006/relationships/hyperlink" Target="https://en.wikipedia.org/wiki/Douglas_County,_Washington" TargetMode="External"/><Relationship Id="rId5920" Type="http://schemas.openxmlformats.org/officeDocument/2006/relationships/hyperlink" Target="https://en.wikipedia.org/wiki/Washington" TargetMode="External"/><Relationship Id="rId4624" Type="http://schemas.openxmlformats.org/officeDocument/2006/relationships/hyperlink" Target="https://en.wikipedia.org/wiki/Pennsylvania" TargetMode="External"/><Relationship Id="rId5956" Type="http://schemas.openxmlformats.org/officeDocument/2006/relationships/hyperlink" Target="https://en.wikipedia.org/wiki/Washington" TargetMode="External"/><Relationship Id="rId4623" Type="http://schemas.openxmlformats.org/officeDocument/2006/relationships/hyperlink" Target="https://en.wikipedia.org/wiki/Wyoming_County,_Pennsylvania" TargetMode="External"/><Relationship Id="rId5957" Type="http://schemas.openxmlformats.org/officeDocument/2006/relationships/hyperlink" Target="https://en.wikipedia.org/wiki/Mason_County,_Washington" TargetMode="External"/><Relationship Id="rId4626" Type="http://schemas.openxmlformats.org/officeDocument/2006/relationships/hyperlink" Target="https://en.wikipedia.org/wiki/Rhode_Island" TargetMode="External"/><Relationship Id="rId5954" Type="http://schemas.openxmlformats.org/officeDocument/2006/relationships/hyperlink" Target="https://en.wikipedia.org/wiki/Washington" TargetMode="External"/><Relationship Id="rId4625" Type="http://schemas.openxmlformats.org/officeDocument/2006/relationships/hyperlink" Target="https://en.wikipedia.org/wiki/York_County,_Pennsylvania" TargetMode="External"/><Relationship Id="rId5955" Type="http://schemas.openxmlformats.org/officeDocument/2006/relationships/hyperlink" Target="https://en.wikipedia.org/wiki/Lincoln_County,_Washington" TargetMode="External"/><Relationship Id="rId4628" Type="http://schemas.openxmlformats.org/officeDocument/2006/relationships/hyperlink" Target="https://en.wikipedia.org/wiki/Rhode_Island" TargetMode="External"/><Relationship Id="rId4627" Type="http://schemas.openxmlformats.org/officeDocument/2006/relationships/hyperlink" Target="https://en.wikipedia.org/wiki/Bristol_County,_Rhode_Island" TargetMode="External"/><Relationship Id="rId5958" Type="http://schemas.openxmlformats.org/officeDocument/2006/relationships/hyperlink" Target="https://en.wikipedia.org/wiki/Washington" TargetMode="External"/><Relationship Id="rId4629" Type="http://schemas.openxmlformats.org/officeDocument/2006/relationships/hyperlink" Target="https://en.wikipedia.org/wiki/Kent_County,_Rhode_Island" TargetMode="External"/><Relationship Id="rId5959" Type="http://schemas.openxmlformats.org/officeDocument/2006/relationships/hyperlink" Target="https://en.wikipedia.org/wiki/Okanogan_County,_Washington" TargetMode="External"/><Relationship Id="rId4620" Type="http://schemas.openxmlformats.org/officeDocument/2006/relationships/hyperlink" Target="https://en.wikipedia.org/wiki/Pennsylvania" TargetMode="External"/><Relationship Id="rId5952" Type="http://schemas.openxmlformats.org/officeDocument/2006/relationships/hyperlink" Target="https://en.wikipedia.org/wiki/Washington" TargetMode="External"/><Relationship Id="rId5953" Type="http://schemas.openxmlformats.org/officeDocument/2006/relationships/hyperlink" Target="https://en.wikipedia.org/wiki/Lewis_County,_Washington" TargetMode="External"/><Relationship Id="rId4622" Type="http://schemas.openxmlformats.org/officeDocument/2006/relationships/hyperlink" Target="https://en.wikipedia.org/wiki/Pennsylvania" TargetMode="External"/><Relationship Id="rId5950" Type="http://schemas.openxmlformats.org/officeDocument/2006/relationships/hyperlink" Target="https://en.wikipedia.org/wiki/Washington" TargetMode="External"/><Relationship Id="rId4621" Type="http://schemas.openxmlformats.org/officeDocument/2006/relationships/hyperlink" Target="https://en.wikipedia.org/wiki/Westmoreland_County,_Pennsylvania" TargetMode="External"/><Relationship Id="rId5951" Type="http://schemas.openxmlformats.org/officeDocument/2006/relationships/hyperlink" Target="https://en.wikipedia.org/wiki/Klickitat_County,_Washington" TargetMode="External"/><Relationship Id="rId4613" Type="http://schemas.openxmlformats.org/officeDocument/2006/relationships/hyperlink" Target="https://en.wikipedia.org/wiki/Venango_County,_Pennsylvania" TargetMode="External"/><Relationship Id="rId5945" Type="http://schemas.openxmlformats.org/officeDocument/2006/relationships/hyperlink" Target="https://en.wikipedia.org/wiki/King_County,_Washington" TargetMode="External"/><Relationship Id="rId4612" Type="http://schemas.openxmlformats.org/officeDocument/2006/relationships/hyperlink" Target="https://en.wikipedia.org/wiki/Pennsylvania" TargetMode="External"/><Relationship Id="rId5946" Type="http://schemas.openxmlformats.org/officeDocument/2006/relationships/hyperlink" Target="https://en.wikipedia.org/wiki/Washington" TargetMode="External"/><Relationship Id="rId4615" Type="http://schemas.openxmlformats.org/officeDocument/2006/relationships/hyperlink" Target="https://en.wikipedia.org/wiki/Warren_County,_Pennsylvania" TargetMode="External"/><Relationship Id="rId5943" Type="http://schemas.openxmlformats.org/officeDocument/2006/relationships/hyperlink" Target="https://en.wikipedia.org/wiki/Jefferson_County,_Washington" TargetMode="External"/><Relationship Id="rId4614" Type="http://schemas.openxmlformats.org/officeDocument/2006/relationships/hyperlink" Target="https://en.wikipedia.org/wiki/Pennsylvania" TargetMode="External"/><Relationship Id="rId5944" Type="http://schemas.openxmlformats.org/officeDocument/2006/relationships/hyperlink" Target="https://en.wikipedia.org/wiki/Washington" TargetMode="External"/><Relationship Id="rId4617" Type="http://schemas.openxmlformats.org/officeDocument/2006/relationships/hyperlink" Target="https://en.wikipedia.org/wiki/Washington_County,_Pennsylvania" TargetMode="External"/><Relationship Id="rId5949" Type="http://schemas.openxmlformats.org/officeDocument/2006/relationships/hyperlink" Target="https://en.wikipedia.org/wiki/Kittitas_County,_Washington" TargetMode="External"/><Relationship Id="rId4616" Type="http://schemas.openxmlformats.org/officeDocument/2006/relationships/hyperlink" Target="https://en.wikipedia.org/wiki/Pennsylvania" TargetMode="External"/><Relationship Id="rId4619" Type="http://schemas.openxmlformats.org/officeDocument/2006/relationships/hyperlink" Target="https://en.wikipedia.org/wiki/Wayne_County,_Pennsylvania" TargetMode="External"/><Relationship Id="rId5947" Type="http://schemas.openxmlformats.org/officeDocument/2006/relationships/hyperlink" Target="https://en.wikipedia.org/wiki/Kitsap_County,_Washington" TargetMode="External"/><Relationship Id="rId4618" Type="http://schemas.openxmlformats.org/officeDocument/2006/relationships/hyperlink" Target="https://en.wikipedia.org/wiki/Pennsylvania" TargetMode="External"/><Relationship Id="rId5948" Type="http://schemas.openxmlformats.org/officeDocument/2006/relationships/hyperlink" Target="https://en.wikipedia.org/wiki/Washington" TargetMode="External"/><Relationship Id="rId5941" Type="http://schemas.openxmlformats.org/officeDocument/2006/relationships/hyperlink" Target="https://en.wikipedia.org/wiki/Island_County,_Washington" TargetMode="External"/><Relationship Id="rId5942" Type="http://schemas.openxmlformats.org/officeDocument/2006/relationships/hyperlink" Target="https://en.wikipedia.org/wiki/Washington" TargetMode="External"/><Relationship Id="rId4611" Type="http://schemas.openxmlformats.org/officeDocument/2006/relationships/hyperlink" Target="https://en.wikipedia.org/wiki/Union_County,_Pennsylvania" TargetMode="External"/><Relationship Id="rId4610" Type="http://schemas.openxmlformats.org/officeDocument/2006/relationships/hyperlink" Target="https://en.wikipedia.org/wiki/Pennsylvania" TargetMode="External"/><Relationship Id="rId5940" Type="http://schemas.openxmlformats.org/officeDocument/2006/relationships/hyperlink" Target="https://en.wikipedia.org/wiki/Washington" TargetMode="External"/><Relationship Id="rId5912" Type="http://schemas.openxmlformats.org/officeDocument/2006/relationships/hyperlink" Target="https://en.wikipedia.org/wiki/Washington" TargetMode="External"/><Relationship Id="rId5913" Type="http://schemas.openxmlformats.org/officeDocument/2006/relationships/hyperlink" Target="https://en.wikipedia.org/wiki/Adams_County,_Washington" TargetMode="External"/><Relationship Id="rId5910" Type="http://schemas.openxmlformats.org/officeDocument/2006/relationships/hyperlink" Target="https://en.wikipedia.org/wiki/Virginia" TargetMode="External"/><Relationship Id="rId5911" Type="http://schemas.openxmlformats.org/officeDocument/2006/relationships/hyperlink" Target="https://en.wikipedia.org/wiki/Winchester,_Virginia" TargetMode="External"/><Relationship Id="rId5916" Type="http://schemas.openxmlformats.org/officeDocument/2006/relationships/hyperlink" Target="https://en.wikipedia.org/wiki/Washington" TargetMode="External"/><Relationship Id="rId5917" Type="http://schemas.openxmlformats.org/officeDocument/2006/relationships/hyperlink" Target="https://en.wikipedia.org/wiki/Benton_County,_Washington" TargetMode="External"/><Relationship Id="rId5914" Type="http://schemas.openxmlformats.org/officeDocument/2006/relationships/hyperlink" Target="https://en.wikipedia.org/wiki/Washington" TargetMode="External"/><Relationship Id="rId5915" Type="http://schemas.openxmlformats.org/officeDocument/2006/relationships/hyperlink" Target="https://en.wikipedia.org/wiki/Asotin_County,_Washington" TargetMode="External"/><Relationship Id="rId5918" Type="http://schemas.openxmlformats.org/officeDocument/2006/relationships/hyperlink" Target="https://en.wikipedia.org/wiki/Washington" TargetMode="External"/><Relationship Id="rId5919" Type="http://schemas.openxmlformats.org/officeDocument/2006/relationships/hyperlink" Target="https://en.wikipedia.org/wiki/Chelan_County,_Washington" TargetMode="External"/><Relationship Id="rId5901" Type="http://schemas.openxmlformats.org/officeDocument/2006/relationships/hyperlink" Target="https://en.wikipedia.org/wiki/Staunton,_Virginia" TargetMode="External"/><Relationship Id="rId5902" Type="http://schemas.openxmlformats.org/officeDocument/2006/relationships/hyperlink" Target="https://en.wikipedia.org/wiki/Virginia" TargetMode="External"/><Relationship Id="rId5900" Type="http://schemas.openxmlformats.org/officeDocument/2006/relationships/hyperlink" Target="https://en.wikipedia.org/wiki/Virginia" TargetMode="External"/><Relationship Id="rId5905" Type="http://schemas.openxmlformats.org/officeDocument/2006/relationships/hyperlink" Target="https://en.wikipedia.org/wiki/Virginia_Beach,_Virginia" TargetMode="External"/><Relationship Id="rId5906" Type="http://schemas.openxmlformats.org/officeDocument/2006/relationships/hyperlink" Target="https://en.wikipedia.org/wiki/Virginia" TargetMode="External"/><Relationship Id="rId5903" Type="http://schemas.openxmlformats.org/officeDocument/2006/relationships/hyperlink" Target="https://en.wikipedia.org/wiki/Suffolk,_Virginia" TargetMode="External"/><Relationship Id="rId5904" Type="http://schemas.openxmlformats.org/officeDocument/2006/relationships/hyperlink" Target="https://en.wikipedia.org/wiki/Virginia" TargetMode="External"/><Relationship Id="rId5909" Type="http://schemas.openxmlformats.org/officeDocument/2006/relationships/hyperlink" Target="https://en.wikipedia.org/wiki/Williamsburg,_Virginia" TargetMode="External"/><Relationship Id="rId5907" Type="http://schemas.openxmlformats.org/officeDocument/2006/relationships/hyperlink" Target="https://en.wikipedia.org/wiki/Waynesboro,_Virginia" TargetMode="External"/><Relationship Id="rId5908" Type="http://schemas.openxmlformats.org/officeDocument/2006/relationships/hyperlink" Target="https://en.wikipedia.org/wiki/Virginia" TargetMode="External"/><Relationship Id="rId2027" Type="http://schemas.openxmlformats.org/officeDocument/2006/relationships/hyperlink" Target="https://en.wikipedia.org/wiki/Campbell_County,_Kentucky" TargetMode="External"/><Relationship Id="rId3359" Type="http://schemas.openxmlformats.org/officeDocument/2006/relationships/hyperlink" Target="https://en.wikipedia.org/wiki/Dawson_County,_Nebraska" TargetMode="External"/><Relationship Id="rId2028" Type="http://schemas.openxmlformats.org/officeDocument/2006/relationships/hyperlink" Target="https://en.wikipedia.org/wiki/Kentucky" TargetMode="External"/><Relationship Id="rId3358" Type="http://schemas.openxmlformats.org/officeDocument/2006/relationships/hyperlink" Target="https://en.wikipedia.org/wiki/Nebraska" TargetMode="External"/><Relationship Id="rId4689" Type="http://schemas.openxmlformats.org/officeDocument/2006/relationships/hyperlink" Target="https://en.wikipedia.org/wiki/Jasper_County,_South_Carolina" TargetMode="External"/><Relationship Id="rId2029" Type="http://schemas.openxmlformats.org/officeDocument/2006/relationships/hyperlink" Target="https://en.wikipedia.org/wiki/Carlisle_County,_Kentucky" TargetMode="External"/><Relationship Id="rId107" Type="http://schemas.openxmlformats.org/officeDocument/2006/relationships/hyperlink" Target="https://en.wikipedia.org/wiki/Morgan_County,_Alabama" TargetMode="External"/><Relationship Id="rId106" Type="http://schemas.openxmlformats.org/officeDocument/2006/relationships/hyperlink" Target="https://en.wikipedia.org/wiki/Alabama" TargetMode="External"/><Relationship Id="rId105" Type="http://schemas.openxmlformats.org/officeDocument/2006/relationships/hyperlink" Target="https://en.wikipedia.org/wiki/Montgomery_County,_Alabama" TargetMode="External"/><Relationship Id="rId104" Type="http://schemas.openxmlformats.org/officeDocument/2006/relationships/hyperlink" Target="https://en.wikipedia.org/wiki/Alabama" TargetMode="External"/><Relationship Id="rId109" Type="http://schemas.openxmlformats.org/officeDocument/2006/relationships/hyperlink" Target="https://en.wikipedia.org/wiki/Perry_County,_Alabama" TargetMode="External"/><Relationship Id="rId4680" Type="http://schemas.openxmlformats.org/officeDocument/2006/relationships/hyperlink" Target="https://en.wikipedia.org/wiki/South_Carolina" TargetMode="External"/><Relationship Id="rId108" Type="http://schemas.openxmlformats.org/officeDocument/2006/relationships/hyperlink" Target="https://en.wikipedia.org/wiki/Alabama" TargetMode="External"/><Relationship Id="rId3351" Type="http://schemas.openxmlformats.org/officeDocument/2006/relationships/hyperlink" Target="https://en.wikipedia.org/wiki/Cuming_County,_Nebraska" TargetMode="External"/><Relationship Id="rId4682" Type="http://schemas.openxmlformats.org/officeDocument/2006/relationships/hyperlink" Target="https://en.wikipedia.org/wiki/South_Carolina" TargetMode="External"/><Relationship Id="rId2020" Type="http://schemas.openxmlformats.org/officeDocument/2006/relationships/hyperlink" Target="https://en.wikipedia.org/wiki/Kentucky" TargetMode="External"/><Relationship Id="rId3350" Type="http://schemas.openxmlformats.org/officeDocument/2006/relationships/hyperlink" Target="https://en.wikipedia.org/wiki/Nebraska" TargetMode="External"/><Relationship Id="rId4681" Type="http://schemas.openxmlformats.org/officeDocument/2006/relationships/hyperlink" Target="https://en.wikipedia.org/wiki/Greenville_County,_South_Carolina" TargetMode="External"/><Relationship Id="rId2021" Type="http://schemas.openxmlformats.org/officeDocument/2006/relationships/hyperlink" Target="https://en.wikipedia.org/wiki/Butler_County,_Kentucky" TargetMode="External"/><Relationship Id="rId3353" Type="http://schemas.openxmlformats.org/officeDocument/2006/relationships/hyperlink" Target="https://en.wikipedia.org/wiki/Custer_County,_Nebraska" TargetMode="External"/><Relationship Id="rId4684" Type="http://schemas.openxmlformats.org/officeDocument/2006/relationships/hyperlink" Target="https://en.wikipedia.org/wiki/South_Carolina" TargetMode="External"/><Relationship Id="rId2022" Type="http://schemas.openxmlformats.org/officeDocument/2006/relationships/hyperlink" Target="https://en.wikipedia.org/wiki/Kentucky" TargetMode="External"/><Relationship Id="rId3352" Type="http://schemas.openxmlformats.org/officeDocument/2006/relationships/hyperlink" Target="https://en.wikipedia.org/wiki/Nebraska" TargetMode="External"/><Relationship Id="rId4683" Type="http://schemas.openxmlformats.org/officeDocument/2006/relationships/hyperlink" Target="https://en.wikipedia.org/wiki/Greenwood_County,_South_Carolina" TargetMode="External"/><Relationship Id="rId103" Type="http://schemas.openxmlformats.org/officeDocument/2006/relationships/hyperlink" Target="https://en.wikipedia.org/wiki/Monroe_County,_Alabama" TargetMode="External"/><Relationship Id="rId2023" Type="http://schemas.openxmlformats.org/officeDocument/2006/relationships/hyperlink" Target="https://en.wikipedia.org/wiki/Caldwell_County,_Kentucky" TargetMode="External"/><Relationship Id="rId3355" Type="http://schemas.openxmlformats.org/officeDocument/2006/relationships/hyperlink" Target="https://en.wikipedia.org/wiki/Dakota_County,_Nebraska" TargetMode="External"/><Relationship Id="rId4686" Type="http://schemas.openxmlformats.org/officeDocument/2006/relationships/hyperlink" Target="https://en.wikipedia.org/wiki/South_Carolina" TargetMode="External"/><Relationship Id="rId102" Type="http://schemas.openxmlformats.org/officeDocument/2006/relationships/hyperlink" Target="https://en.wikipedia.org/wiki/Alabama" TargetMode="External"/><Relationship Id="rId2024" Type="http://schemas.openxmlformats.org/officeDocument/2006/relationships/hyperlink" Target="https://en.wikipedia.org/wiki/Kentucky" TargetMode="External"/><Relationship Id="rId3354" Type="http://schemas.openxmlformats.org/officeDocument/2006/relationships/hyperlink" Target="https://en.wikipedia.org/wiki/Nebraska" TargetMode="External"/><Relationship Id="rId4685" Type="http://schemas.openxmlformats.org/officeDocument/2006/relationships/hyperlink" Target="https://en.wikipedia.org/wiki/Hampton_County,_South_Carolina" TargetMode="External"/><Relationship Id="rId101" Type="http://schemas.openxmlformats.org/officeDocument/2006/relationships/hyperlink" Target="https://en.wikipedia.org/wiki/Mobile_County,_Alabama" TargetMode="External"/><Relationship Id="rId2025" Type="http://schemas.openxmlformats.org/officeDocument/2006/relationships/hyperlink" Target="https://en.wikipedia.org/wiki/Calloway_County,_Kentucky" TargetMode="External"/><Relationship Id="rId3357" Type="http://schemas.openxmlformats.org/officeDocument/2006/relationships/hyperlink" Target="https://en.wikipedia.org/wiki/Dawes_County,_Nebraska" TargetMode="External"/><Relationship Id="rId4688" Type="http://schemas.openxmlformats.org/officeDocument/2006/relationships/hyperlink" Target="https://en.wikipedia.org/wiki/South_Carolina" TargetMode="External"/><Relationship Id="rId100" Type="http://schemas.openxmlformats.org/officeDocument/2006/relationships/hyperlink" Target="https://en.wikipedia.org/wiki/Alabama" TargetMode="External"/><Relationship Id="rId2026" Type="http://schemas.openxmlformats.org/officeDocument/2006/relationships/hyperlink" Target="https://en.wikipedia.org/wiki/Kentucky" TargetMode="External"/><Relationship Id="rId3356" Type="http://schemas.openxmlformats.org/officeDocument/2006/relationships/hyperlink" Target="https://en.wikipedia.org/wiki/Nebraska" TargetMode="External"/><Relationship Id="rId4687" Type="http://schemas.openxmlformats.org/officeDocument/2006/relationships/hyperlink" Target="https://en.wikipedia.org/wiki/Horry_County,_South_Carolina" TargetMode="External"/><Relationship Id="rId2016" Type="http://schemas.openxmlformats.org/officeDocument/2006/relationships/hyperlink" Target="https://en.wikipedia.org/wiki/Kentucky" TargetMode="External"/><Relationship Id="rId3348" Type="http://schemas.openxmlformats.org/officeDocument/2006/relationships/hyperlink" Target="https://en.wikipedia.org/wiki/Nebraska" TargetMode="External"/><Relationship Id="rId4679" Type="http://schemas.openxmlformats.org/officeDocument/2006/relationships/hyperlink" Target="https://en.wikipedia.org/wiki/Georgetown_County,_South_Carolina" TargetMode="External"/><Relationship Id="rId2017" Type="http://schemas.openxmlformats.org/officeDocument/2006/relationships/hyperlink" Target="https://en.wikipedia.org/wiki/Breckinridge_County,_Kentucky" TargetMode="External"/><Relationship Id="rId3347" Type="http://schemas.openxmlformats.org/officeDocument/2006/relationships/hyperlink" Target="https://en.wikipedia.org/wiki/Clay_County,_Nebraska" TargetMode="External"/><Relationship Id="rId4678" Type="http://schemas.openxmlformats.org/officeDocument/2006/relationships/hyperlink" Target="https://en.wikipedia.org/wiki/South_Carolina" TargetMode="External"/><Relationship Id="rId2018" Type="http://schemas.openxmlformats.org/officeDocument/2006/relationships/hyperlink" Target="https://en.wikipedia.org/wiki/Kentucky" TargetMode="External"/><Relationship Id="rId2019" Type="http://schemas.openxmlformats.org/officeDocument/2006/relationships/hyperlink" Target="https://en.wikipedia.org/wiki/Bullitt_County,_Kentucky" TargetMode="External"/><Relationship Id="rId3349" Type="http://schemas.openxmlformats.org/officeDocument/2006/relationships/hyperlink" Target="https://en.wikipedia.org/wiki/Colfax_County,_Nebraska" TargetMode="External"/><Relationship Id="rId3340" Type="http://schemas.openxmlformats.org/officeDocument/2006/relationships/hyperlink" Target="https://en.wikipedia.org/wiki/Nebraska" TargetMode="External"/><Relationship Id="rId4671" Type="http://schemas.openxmlformats.org/officeDocument/2006/relationships/hyperlink" Target="https://en.wikipedia.org/wiki/Dorchester_County,_South_Carolina" TargetMode="External"/><Relationship Id="rId4670" Type="http://schemas.openxmlformats.org/officeDocument/2006/relationships/hyperlink" Target="https://en.wikipedia.org/wiki/South_Carolina" TargetMode="External"/><Relationship Id="rId2010" Type="http://schemas.openxmlformats.org/officeDocument/2006/relationships/hyperlink" Target="https://en.wikipedia.org/wiki/Kentucky" TargetMode="External"/><Relationship Id="rId3342" Type="http://schemas.openxmlformats.org/officeDocument/2006/relationships/hyperlink" Target="https://en.wikipedia.org/wiki/Nebraska" TargetMode="External"/><Relationship Id="rId4673" Type="http://schemas.openxmlformats.org/officeDocument/2006/relationships/hyperlink" Target="https://en.wikipedia.org/wiki/Edgefield_County,_South_Carolina" TargetMode="External"/><Relationship Id="rId2011" Type="http://schemas.openxmlformats.org/officeDocument/2006/relationships/hyperlink" Target="https://en.wikipedia.org/wiki/Boyle_County,_Kentucky" TargetMode="External"/><Relationship Id="rId3341" Type="http://schemas.openxmlformats.org/officeDocument/2006/relationships/hyperlink" Target="https://en.wikipedia.org/wiki/Chase_County,_Nebraska" TargetMode="External"/><Relationship Id="rId4672" Type="http://schemas.openxmlformats.org/officeDocument/2006/relationships/hyperlink" Target="https://en.wikipedia.org/wiki/South_Carolina" TargetMode="External"/><Relationship Id="rId2012" Type="http://schemas.openxmlformats.org/officeDocument/2006/relationships/hyperlink" Target="https://en.wikipedia.org/wiki/Kentucky" TargetMode="External"/><Relationship Id="rId3344" Type="http://schemas.openxmlformats.org/officeDocument/2006/relationships/hyperlink" Target="https://en.wikipedia.org/wiki/Nebraska" TargetMode="External"/><Relationship Id="rId4675" Type="http://schemas.openxmlformats.org/officeDocument/2006/relationships/hyperlink" Target="https://en.wikipedia.org/wiki/Fairfield_County,_South_Carolina" TargetMode="External"/><Relationship Id="rId2013" Type="http://schemas.openxmlformats.org/officeDocument/2006/relationships/hyperlink" Target="https://en.wikipedia.org/wiki/Bracken_County,_Kentucky" TargetMode="External"/><Relationship Id="rId3343" Type="http://schemas.openxmlformats.org/officeDocument/2006/relationships/hyperlink" Target="https://en.wikipedia.org/wiki/Cherry_County,_Nebraska" TargetMode="External"/><Relationship Id="rId4674" Type="http://schemas.openxmlformats.org/officeDocument/2006/relationships/hyperlink" Target="https://en.wikipedia.org/wiki/South_Carolina" TargetMode="External"/><Relationship Id="rId2014" Type="http://schemas.openxmlformats.org/officeDocument/2006/relationships/hyperlink" Target="https://en.wikipedia.org/wiki/Kentucky" TargetMode="External"/><Relationship Id="rId3346" Type="http://schemas.openxmlformats.org/officeDocument/2006/relationships/hyperlink" Target="https://en.wikipedia.org/wiki/Nebraska" TargetMode="External"/><Relationship Id="rId4677" Type="http://schemas.openxmlformats.org/officeDocument/2006/relationships/hyperlink" Target="https://en.wikipedia.org/wiki/Florence_County,_South_Carolina" TargetMode="External"/><Relationship Id="rId2015" Type="http://schemas.openxmlformats.org/officeDocument/2006/relationships/hyperlink" Target="https://en.wikipedia.org/wiki/Breathitt_County,_Kentucky" TargetMode="External"/><Relationship Id="rId3345" Type="http://schemas.openxmlformats.org/officeDocument/2006/relationships/hyperlink" Target="https://en.wikipedia.org/wiki/Cheyenne_County,_Nebraska" TargetMode="External"/><Relationship Id="rId4676" Type="http://schemas.openxmlformats.org/officeDocument/2006/relationships/hyperlink" Target="https://en.wikipedia.org/wiki/South_Carolina" TargetMode="External"/><Relationship Id="rId2049" Type="http://schemas.openxmlformats.org/officeDocument/2006/relationships/hyperlink" Target="https://en.wikipedia.org/wiki/Daviess_County,_Kentucky" TargetMode="External"/><Relationship Id="rId129" Type="http://schemas.openxmlformats.org/officeDocument/2006/relationships/hyperlink" Target="https://en.wikipedia.org/wiki/Tuscaloosa_County,_Alabama" TargetMode="External"/><Relationship Id="rId128" Type="http://schemas.openxmlformats.org/officeDocument/2006/relationships/hyperlink" Target="https://en.wikipedia.org/wiki/Alabama" TargetMode="External"/><Relationship Id="rId127" Type="http://schemas.openxmlformats.org/officeDocument/2006/relationships/hyperlink" Target="https://en.wikipedia.org/wiki/Tallapoosa_County,_Alabama" TargetMode="External"/><Relationship Id="rId126" Type="http://schemas.openxmlformats.org/officeDocument/2006/relationships/hyperlink" Target="https://en.wikipedia.org/wiki/Alabama" TargetMode="External"/><Relationship Id="rId3371" Type="http://schemas.openxmlformats.org/officeDocument/2006/relationships/hyperlink" Target="https://en.wikipedia.org/wiki/Fillmore_County,_Nebraska" TargetMode="External"/><Relationship Id="rId2040" Type="http://schemas.openxmlformats.org/officeDocument/2006/relationships/hyperlink" Target="https://en.wikipedia.org/wiki/Kentucky" TargetMode="External"/><Relationship Id="rId3370" Type="http://schemas.openxmlformats.org/officeDocument/2006/relationships/hyperlink" Target="https://en.wikipedia.org/wiki/Nebraska" TargetMode="External"/><Relationship Id="rId121" Type="http://schemas.openxmlformats.org/officeDocument/2006/relationships/hyperlink" Target="https://en.wikipedia.org/wiki/Shelby_County,_Alabama" TargetMode="External"/><Relationship Id="rId2041" Type="http://schemas.openxmlformats.org/officeDocument/2006/relationships/hyperlink" Target="https://en.wikipedia.org/wiki/Clay_County,_Kentucky" TargetMode="External"/><Relationship Id="rId3373" Type="http://schemas.openxmlformats.org/officeDocument/2006/relationships/hyperlink" Target="https://en.wikipedia.org/wiki/Franklin_County,_Nebraska" TargetMode="External"/><Relationship Id="rId120" Type="http://schemas.openxmlformats.org/officeDocument/2006/relationships/hyperlink" Target="https://en.wikipedia.org/wiki/Alabama" TargetMode="External"/><Relationship Id="rId2042" Type="http://schemas.openxmlformats.org/officeDocument/2006/relationships/hyperlink" Target="https://en.wikipedia.org/wiki/Kentucky" TargetMode="External"/><Relationship Id="rId3372" Type="http://schemas.openxmlformats.org/officeDocument/2006/relationships/hyperlink" Target="https://en.wikipedia.org/wiki/Nebraska" TargetMode="External"/><Relationship Id="rId2043" Type="http://schemas.openxmlformats.org/officeDocument/2006/relationships/hyperlink" Target="https://en.wikipedia.org/wiki/Clinton_County,_Kentucky" TargetMode="External"/><Relationship Id="rId3375" Type="http://schemas.openxmlformats.org/officeDocument/2006/relationships/hyperlink" Target="https://en.wikipedia.org/wiki/Frontier_County,_Nebraska" TargetMode="External"/><Relationship Id="rId2044" Type="http://schemas.openxmlformats.org/officeDocument/2006/relationships/hyperlink" Target="https://en.wikipedia.org/wiki/Kentucky" TargetMode="External"/><Relationship Id="rId3374" Type="http://schemas.openxmlformats.org/officeDocument/2006/relationships/hyperlink" Target="https://en.wikipedia.org/wiki/Nebraska" TargetMode="External"/><Relationship Id="rId125" Type="http://schemas.openxmlformats.org/officeDocument/2006/relationships/hyperlink" Target="https://en.wikipedia.org/wiki/Talladega_County,_Alabama" TargetMode="External"/><Relationship Id="rId2045" Type="http://schemas.openxmlformats.org/officeDocument/2006/relationships/hyperlink" Target="https://en.wikipedia.org/wiki/Crittenden_County,_Kentucky" TargetMode="External"/><Relationship Id="rId3377" Type="http://schemas.openxmlformats.org/officeDocument/2006/relationships/hyperlink" Target="https://en.wikipedia.org/wiki/Furnas_County,_Nebraska" TargetMode="External"/><Relationship Id="rId124" Type="http://schemas.openxmlformats.org/officeDocument/2006/relationships/hyperlink" Target="https://en.wikipedia.org/wiki/Alabama" TargetMode="External"/><Relationship Id="rId2046" Type="http://schemas.openxmlformats.org/officeDocument/2006/relationships/hyperlink" Target="https://en.wikipedia.org/wiki/Kentucky" TargetMode="External"/><Relationship Id="rId3376" Type="http://schemas.openxmlformats.org/officeDocument/2006/relationships/hyperlink" Target="https://en.wikipedia.org/wiki/Nebraska" TargetMode="External"/><Relationship Id="rId123" Type="http://schemas.openxmlformats.org/officeDocument/2006/relationships/hyperlink" Target="https://en.wikipedia.org/wiki/Sumter_County,_Alabama" TargetMode="External"/><Relationship Id="rId2047" Type="http://schemas.openxmlformats.org/officeDocument/2006/relationships/hyperlink" Target="https://en.wikipedia.org/wiki/Cumberland_County,_Kentucky" TargetMode="External"/><Relationship Id="rId3379" Type="http://schemas.openxmlformats.org/officeDocument/2006/relationships/hyperlink" Target="https://en.wikipedia.org/wiki/Gage_County,_Nebraska" TargetMode="External"/><Relationship Id="rId122" Type="http://schemas.openxmlformats.org/officeDocument/2006/relationships/hyperlink" Target="https://en.wikipedia.org/wiki/Alabama" TargetMode="External"/><Relationship Id="rId2048" Type="http://schemas.openxmlformats.org/officeDocument/2006/relationships/hyperlink" Target="https://en.wikipedia.org/wiki/Kentucky" TargetMode="External"/><Relationship Id="rId3378" Type="http://schemas.openxmlformats.org/officeDocument/2006/relationships/hyperlink" Target="https://en.wikipedia.org/wiki/Nebraska" TargetMode="External"/><Relationship Id="rId2038" Type="http://schemas.openxmlformats.org/officeDocument/2006/relationships/hyperlink" Target="https://en.wikipedia.org/wiki/Kentucky" TargetMode="External"/><Relationship Id="rId2039" Type="http://schemas.openxmlformats.org/officeDocument/2006/relationships/hyperlink" Target="https://en.wikipedia.org/wiki/Clark_County,_Kentucky" TargetMode="External"/><Relationship Id="rId3369" Type="http://schemas.openxmlformats.org/officeDocument/2006/relationships/hyperlink" Target="https://en.wikipedia.org/wiki/Dundy_County,_Nebraska" TargetMode="External"/><Relationship Id="rId118" Type="http://schemas.openxmlformats.org/officeDocument/2006/relationships/hyperlink" Target="https://en.wikipedia.org/wiki/Alabama" TargetMode="External"/><Relationship Id="rId117" Type="http://schemas.openxmlformats.org/officeDocument/2006/relationships/hyperlink" Target="https://en.wikipedia.org/wiki/Russell_County,_Alabama" TargetMode="External"/><Relationship Id="rId116" Type="http://schemas.openxmlformats.org/officeDocument/2006/relationships/hyperlink" Target="https://en.wikipedia.org/wiki/Alabama" TargetMode="External"/><Relationship Id="rId115" Type="http://schemas.openxmlformats.org/officeDocument/2006/relationships/hyperlink" Target="https://en.wikipedia.org/wiki/Randolph_County,_Alabama" TargetMode="External"/><Relationship Id="rId3360" Type="http://schemas.openxmlformats.org/officeDocument/2006/relationships/hyperlink" Target="https://en.wikipedia.org/wiki/Nebraska" TargetMode="External"/><Relationship Id="rId4691" Type="http://schemas.openxmlformats.org/officeDocument/2006/relationships/hyperlink" Target="https://en.wikipedia.org/wiki/Kershaw_County,_South_Carolina" TargetMode="External"/><Relationship Id="rId119" Type="http://schemas.openxmlformats.org/officeDocument/2006/relationships/hyperlink" Target="https://en.wikipedia.org/wiki/St._Clair_County,_Alabama" TargetMode="External"/><Relationship Id="rId4690" Type="http://schemas.openxmlformats.org/officeDocument/2006/relationships/hyperlink" Target="https://en.wikipedia.org/wiki/South_Carolina" TargetMode="External"/><Relationship Id="rId110" Type="http://schemas.openxmlformats.org/officeDocument/2006/relationships/hyperlink" Target="https://en.wikipedia.org/wiki/Alabama" TargetMode="External"/><Relationship Id="rId2030" Type="http://schemas.openxmlformats.org/officeDocument/2006/relationships/hyperlink" Target="https://en.wikipedia.org/wiki/Kentucky" TargetMode="External"/><Relationship Id="rId3362" Type="http://schemas.openxmlformats.org/officeDocument/2006/relationships/hyperlink" Target="https://en.wikipedia.org/wiki/Nebraska" TargetMode="External"/><Relationship Id="rId4693" Type="http://schemas.openxmlformats.org/officeDocument/2006/relationships/hyperlink" Target="https://en.wikipedia.org/wiki/Lancaster_County,_South_Carolina" TargetMode="External"/><Relationship Id="rId2031" Type="http://schemas.openxmlformats.org/officeDocument/2006/relationships/hyperlink" Target="https://en.wikipedia.org/wiki/Carroll_County,_Kentucky" TargetMode="External"/><Relationship Id="rId3361" Type="http://schemas.openxmlformats.org/officeDocument/2006/relationships/hyperlink" Target="https://en.wikipedia.org/wiki/Deuel_County,_Nebraska" TargetMode="External"/><Relationship Id="rId4692" Type="http://schemas.openxmlformats.org/officeDocument/2006/relationships/hyperlink" Target="https://en.wikipedia.org/wiki/South_Carolina" TargetMode="External"/><Relationship Id="rId2032" Type="http://schemas.openxmlformats.org/officeDocument/2006/relationships/hyperlink" Target="https://en.wikipedia.org/wiki/Kentucky" TargetMode="External"/><Relationship Id="rId3364" Type="http://schemas.openxmlformats.org/officeDocument/2006/relationships/hyperlink" Target="https://en.wikipedia.org/wiki/Nebraska" TargetMode="External"/><Relationship Id="rId4695" Type="http://schemas.openxmlformats.org/officeDocument/2006/relationships/hyperlink" Target="https://en.wikipedia.org/wiki/Laurens_County,_South_Carolina" TargetMode="External"/><Relationship Id="rId2033" Type="http://schemas.openxmlformats.org/officeDocument/2006/relationships/hyperlink" Target="https://en.wikipedia.org/wiki/Carter_County,_Kentucky" TargetMode="External"/><Relationship Id="rId3363" Type="http://schemas.openxmlformats.org/officeDocument/2006/relationships/hyperlink" Target="https://en.wikipedia.org/wiki/Dixon_County,_Nebraska" TargetMode="External"/><Relationship Id="rId4694" Type="http://schemas.openxmlformats.org/officeDocument/2006/relationships/hyperlink" Target="https://en.wikipedia.org/wiki/South_Carolina" TargetMode="External"/><Relationship Id="rId114" Type="http://schemas.openxmlformats.org/officeDocument/2006/relationships/hyperlink" Target="https://en.wikipedia.org/wiki/Alabama" TargetMode="External"/><Relationship Id="rId2034" Type="http://schemas.openxmlformats.org/officeDocument/2006/relationships/hyperlink" Target="https://en.wikipedia.org/wiki/Kentucky" TargetMode="External"/><Relationship Id="rId3366" Type="http://schemas.openxmlformats.org/officeDocument/2006/relationships/hyperlink" Target="https://en.wikipedia.org/wiki/Nebraska" TargetMode="External"/><Relationship Id="rId4697" Type="http://schemas.openxmlformats.org/officeDocument/2006/relationships/hyperlink" Target="https://en.wikipedia.org/wiki/Lee_County,_South_Carolina" TargetMode="External"/><Relationship Id="rId113" Type="http://schemas.openxmlformats.org/officeDocument/2006/relationships/hyperlink" Target="https://en.wikipedia.org/wiki/Pike_County,_Alabama" TargetMode="External"/><Relationship Id="rId2035" Type="http://schemas.openxmlformats.org/officeDocument/2006/relationships/hyperlink" Target="https://en.wikipedia.org/wiki/Casey_County,_Kentucky" TargetMode="External"/><Relationship Id="rId3365" Type="http://schemas.openxmlformats.org/officeDocument/2006/relationships/hyperlink" Target="https://en.wikipedia.org/wiki/Dodge_County,_Nebraska" TargetMode="External"/><Relationship Id="rId4696" Type="http://schemas.openxmlformats.org/officeDocument/2006/relationships/hyperlink" Target="https://en.wikipedia.org/wiki/South_Carolina" TargetMode="External"/><Relationship Id="rId112" Type="http://schemas.openxmlformats.org/officeDocument/2006/relationships/hyperlink" Target="https://en.wikipedia.org/wiki/Alabama" TargetMode="External"/><Relationship Id="rId2036" Type="http://schemas.openxmlformats.org/officeDocument/2006/relationships/hyperlink" Target="https://en.wikipedia.org/wiki/Kentucky" TargetMode="External"/><Relationship Id="rId3368" Type="http://schemas.openxmlformats.org/officeDocument/2006/relationships/hyperlink" Target="https://en.wikipedia.org/wiki/Nebraska" TargetMode="External"/><Relationship Id="rId4699" Type="http://schemas.openxmlformats.org/officeDocument/2006/relationships/hyperlink" Target="https://en.wikipedia.org/wiki/Lexington_County,_South_Carolina" TargetMode="External"/><Relationship Id="rId111" Type="http://schemas.openxmlformats.org/officeDocument/2006/relationships/hyperlink" Target="https://en.wikipedia.org/wiki/Pickens_County,_Alabama" TargetMode="External"/><Relationship Id="rId2037" Type="http://schemas.openxmlformats.org/officeDocument/2006/relationships/hyperlink" Target="https://en.wikipedia.org/wiki/Christian_County,_Kentucky" TargetMode="External"/><Relationship Id="rId3367" Type="http://schemas.openxmlformats.org/officeDocument/2006/relationships/hyperlink" Target="https://en.wikipedia.org/wiki/Douglas_County,_Nebraska" TargetMode="External"/><Relationship Id="rId4698" Type="http://schemas.openxmlformats.org/officeDocument/2006/relationships/hyperlink" Target="https://en.wikipedia.org/wiki/South_Carolina" TargetMode="External"/><Relationship Id="rId3315" Type="http://schemas.openxmlformats.org/officeDocument/2006/relationships/hyperlink" Target="https://en.wikipedia.org/wiki/Antelope_County,_Nebraska" TargetMode="External"/><Relationship Id="rId4646" Type="http://schemas.openxmlformats.org/officeDocument/2006/relationships/hyperlink" Target="https://en.wikipedia.org/wiki/South_Carolina" TargetMode="External"/><Relationship Id="rId5978" Type="http://schemas.openxmlformats.org/officeDocument/2006/relationships/hyperlink" Target="https://en.wikipedia.org/wiki/Washington" TargetMode="External"/><Relationship Id="rId3314" Type="http://schemas.openxmlformats.org/officeDocument/2006/relationships/hyperlink" Target="https://en.wikipedia.org/wiki/Nebraska" TargetMode="External"/><Relationship Id="rId4645" Type="http://schemas.openxmlformats.org/officeDocument/2006/relationships/hyperlink" Target="https://en.wikipedia.org/wiki/Bamberg_County,_South_Carolina" TargetMode="External"/><Relationship Id="rId5979" Type="http://schemas.openxmlformats.org/officeDocument/2006/relationships/hyperlink" Target="https://en.wikipedia.org/wiki/Thurston_County,_Washington" TargetMode="External"/><Relationship Id="rId3317" Type="http://schemas.openxmlformats.org/officeDocument/2006/relationships/hyperlink" Target="https://en.wikipedia.org/wiki/Arthur_County,_Nebraska" TargetMode="External"/><Relationship Id="rId4648" Type="http://schemas.openxmlformats.org/officeDocument/2006/relationships/hyperlink" Target="https://en.wikipedia.org/wiki/South_Carolina" TargetMode="External"/><Relationship Id="rId5976" Type="http://schemas.openxmlformats.org/officeDocument/2006/relationships/hyperlink" Target="https://en.wikipedia.org/wiki/Washington" TargetMode="External"/><Relationship Id="rId3316" Type="http://schemas.openxmlformats.org/officeDocument/2006/relationships/hyperlink" Target="https://en.wikipedia.org/wiki/Nebraska" TargetMode="External"/><Relationship Id="rId4647" Type="http://schemas.openxmlformats.org/officeDocument/2006/relationships/hyperlink" Target="https://en.wikipedia.org/wiki/Barnwell_County,_South_Carolina" TargetMode="External"/><Relationship Id="rId5977" Type="http://schemas.openxmlformats.org/officeDocument/2006/relationships/hyperlink" Target="https://en.wikipedia.org/wiki/Stevens_County,_Washington" TargetMode="External"/><Relationship Id="rId3319" Type="http://schemas.openxmlformats.org/officeDocument/2006/relationships/hyperlink" Target="https://en.wikipedia.org/wiki/Banner_County,_Nebraska" TargetMode="External"/><Relationship Id="rId3318" Type="http://schemas.openxmlformats.org/officeDocument/2006/relationships/hyperlink" Target="https://en.wikipedia.org/wiki/Nebraska" TargetMode="External"/><Relationship Id="rId4649" Type="http://schemas.openxmlformats.org/officeDocument/2006/relationships/hyperlink" Target="https://en.wikipedia.org/wiki/Beaufort_County,_South_Carolina" TargetMode="External"/><Relationship Id="rId5970" Type="http://schemas.openxmlformats.org/officeDocument/2006/relationships/hyperlink" Target="https://en.wikipedia.org/wiki/Washington" TargetMode="External"/><Relationship Id="rId5971" Type="http://schemas.openxmlformats.org/officeDocument/2006/relationships/hyperlink" Target="https://en.wikipedia.org/wiki/Skamania_County,_Washington" TargetMode="External"/><Relationship Id="rId4640" Type="http://schemas.openxmlformats.org/officeDocument/2006/relationships/hyperlink" Target="https://en.wikipedia.org/wiki/South_Carolina" TargetMode="External"/><Relationship Id="rId3311" Type="http://schemas.openxmlformats.org/officeDocument/2006/relationships/hyperlink" Target="https://en.wikipedia.org/wiki/Yellowstone_County,_Montana" TargetMode="External"/><Relationship Id="rId4642" Type="http://schemas.openxmlformats.org/officeDocument/2006/relationships/hyperlink" Target="https://en.wikipedia.org/wiki/South_Carolina" TargetMode="External"/><Relationship Id="rId5974" Type="http://schemas.openxmlformats.org/officeDocument/2006/relationships/hyperlink" Target="https://en.wikipedia.org/wiki/Washington" TargetMode="External"/><Relationship Id="rId3310" Type="http://schemas.openxmlformats.org/officeDocument/2006/relationships/hyperlink" Target="https://en.wikipedia.org/wiki/Montana" TargetMode="External"/><Relationship Id="rId4641" Type="http://schemas.openxmlformats.org/officeDocument/2006/relationships/hyperlink" Target="https://en.wikipedia.org/wiki/Allendale_County,_South_Carolina" TargetMode="External"/><Relationship Id="rId5975" Type="http://schemas.openxmlformats.org/officeDocument/2006/relationships/hyperlink" Target="https://en.wikipedia.org/wiki/Spokane_County,_Washington" TargetMode="External"/><Relationship Id="rId3313" Type="http://schemas.openxmlformats.org/officeDocument/2006/relationships/hyperlink" Target="https://en.wikipedia.org/wiki/Adams_County,_Nebraska" TargetMode="External"/><Relationship Id="rId4644" Type="http://schemas.openxmlformats.org/officeDocument/2006/relationships/hyperlink" Target="https://en.wikipedia.org/wiki/South_Carolina" TargetMode="External"/><Relationship Id="rId5972" Type="http://schemas.openxmlformats.org/officeDocument/2006/relationships/hyperlink" Target="https://en.wikipedia.org/wiki/Washington" TargetMode="External"/><Relationship Id="rId3312" Type="http://schemas.openxmlformats.org/officeDocument/2006/relationships/hyperlink" Target="https://en.wikipedia.org/wiki/Nebraska" TargetMode="External"/><Relationship Id="rId4643" Type="http://schemas.openxmlformats.org/officeDocument/2006/relationships/hyperlink" Target="https://en.wikipedia.org/wiki/Anderson_County,_South_Carolina" TargetMode="External"/><Relationship Id="rId5973" Type="http://schemas.openxmlformats.org/officeDocument/2006/relationships/hyperlink" Target="https://en.wikipedia.org/wiki/Snohomish_County,_Washington" TargetMode="External"/><Relationship Id="rId3304" Type="http://schemas.openxmlformats.org/officeDocument/2006/relationships/hyperlink" Target="https://en.wikipedia.org/wiki/Montana" TargetMode="External"/><Relationship Id="rId4635" Type="http://schemas.openxmlformats.org/officeDocument/2006/relationships/hyperlink" Target="https://en.wikipedia.org/wiki/Washington_County,_Rhode_Island" TargetMode="External"/><Relationship Id="rId5967" Type="http://schemas.openxmlformats.org/officeDocument/2006/relationships/hyperlink" Target="https://en.wikipedia.org/wiki/San_Juan_County,_Washington" TargetMode="External"/><Relationship Id="rId3303" Type="http://schemas.openxmlformats.org/officeDocument/2006/relationships/hyperlink" Target="https://en.wikipedia.org/wiki/Treasure_County,_Montana" TargetMode="External"/><Relationship Id="rId4634" Type="http://schemas.openxmlformats.org/officeDocument/2006/relationships/hyperlink" Target="https://en.wikipedia.org/wiki/Rhode_Island" TargetMode="External"/><Relationship Id="rId5968" Type="http://schemas.openxmlformats.org/officeDocument/2006/relationships/hyperlink" Target="https://en.wikipedia.org/wiki/Washington" TargetMode="External"/><Relationship Id="rId3306" Type="http://schemas.openxmlformats.org/officeDocument/2006/relationships/hyperlink" Target="https://en.wikipedia.org/wiki/Montana" TargetMode="External"/><Relationship Id="rId4637" Type="http://schemas.openxmlformats.org/officeDocument/2006/relationships/hyperlink" Target="https://en.wikipedia.org/wiki/Abbeville_County,_South_Carolina" TargetMode="External"/><Relationship Id="rId5965" Type="http://schemas.openxmlformats.org/officeDocument/2006/relationships/hyperlink" Target="https://en.wikipedia.org/wiki/Pierce_County,_Washington" TargetMode="External"/><Relationship Id="rId3305" Type="http://schemas.openxmlformats.org/officeDocument/2006/relationships/hyperlink" Target="https://en.wikipedia.org/wiki/Valley_County,_Montana" TargetMode="External"/><Relationship Id="rId4636" Type="http://schemas.openxmlformats.org/officeDocument/2006/relationships/hyperlink" Target="https://en.wikipedia.org/wiki/South_Carolina" TargetMode="External"/><Relationship Id="rId5966" Type="http://schemas.openxmlformats.org/officeDocument/2006/relationships/hyperlink" Target="https://en.wikipedia.org/wiki/Washington" TargetMode="External"/><Relationship Id="rId3308" Type="http://schemas.openxmlformats.org/officeDocument/2006/relationships/hyperlink" Target="https://en.wikipedia.org/wiki/Montana" TargetMode="External"/><Relationship Id="rId4639" Type="http://schemas.openxmlformats.org/officeDocument/2006/relationships/hyperlink" Target="https://en.wikipedia.org/wiki/Aiken_County,_South_Carolina" TargetMode="External"/><Relationship Id="rId3307" Type="http://schemas.openxmlformats.org/officeDocument/2006/relationships/hyperlink" Target="https://en.wikipedia.org/wiki/Wheatland_County,_Montana" TargetMode="External"/><Relationship Id="rId4638" Type="http://schemas.openxmlformats.org/officeDocument/2006/relationships/hyperlink" Target="https://en.wikipedia.org/wiki/South_Carolina" TargetMode="External"/><Relationship Id="rId5969" Type="http://schemas.openxmlformats.org/officeDocument/2006/relationships/hyperlink" Target="https://en.wikipedia.org/wiki/Skagit_County,_Washington" TargetMode="External"/><Relationship Id="rId3309" Type="http://schemas.openxmlformats.org/officeDocument/2006/relationships/hyperlink" Target="https://en.wikipedia.org/wiki/Wibaux_County,_Montana" TargetMode="External"/><Relationship Id="rId5960" Type="http://schemas.openxmlformats.org/officeDocument/2006/relationships/hyperlink" Target="https://en.wikipedia.org/wiki/Washington" TargetMode="External"/><Relationship Id="rId3300" Type="http://schemas.openxmlformats.org/officeDocument/2006/relationships/hyperlink" Target="https://en.wikipedia.org/wiki/Montana" TargetMode="External"/><Relationship Id="rId4631" Type="http://schemas.openxmlformats.org/officeDocument/2006/relationships/hyperlink" Target="https://en.wikipedia.org/wiki/Newport_County,_Rhode_Island" TargetMode="External"/><Relationship Id="rId5963" Type="http://schemas.openxmlformats.org/officeDocument/2006/relationships/hyperlink" Target="https://en.wikipedia.org/wiki/Pend_Oreille_County,_Washington" TargetMode="External"/><Relationship Id="rId4630" Type="http://schemas.openxmlformats.org/officeDocument/2006/relationships/hyperlink" Target="https://en.wikipedia.org/wiki/Rhode_Island" TargetMode="External"/><Relationship Id="rId5964" Type="http://schemas.openxmlformats.org/officeDocument/2006/relationships/hyperlink" Target="https://en.wikipedia.org/wiki/Washington" TargetMode="External"/><Relationship Id="rId3302" Type="http://schemas.openxmlformats.org/officeDocument/2006/relationships/hyperlink" Target="https://en.wikipedia.org/wiki/Montana" TargetMode="External"/><Relationship Id="rId4633" Type="http://schemas.openxmlformats.org/officeDocument/2006/relationships/hyperlink" Target="https://en.wikipedia.org/wiki/Providence_County,_Rhode_Island" TargetMode="External"/><Relationship Id="rId5961" Type="http://schemas.openxmlformats.org/officeDocument/2006/relationships/hyperlink" Target="https://en.wikipedia.org/wiki/Pacific_County,_Washington" TargetMode="External"/><Relationship Id="rId3301" Type="http://schemas.openxmlformats.org/officeDocument/2006/relationships/hyperlink" Target="https://en.wikipedia.org/wiki/Toole_County,_Montana" TargetMode="External"/><Relationship Id="rId4632" Type="http://schemas.openxmlformats.org/officeDocument/2006/relationships/hyperlink" Target="https://en.wikipedia.org/wiki/Rhode_Island" TargetMode="External"/><Relationship Id="rId5962" Type="http://schemas.openxmlformats.org/officeDocument/2006/relationships/hyperlink" Target="https://en.wikipedia.org/wiki/Washington" TargetMode="External"/><Relationship Id="rId2005" Type="http://schemas.openxmlformats.org/officeDocument/2006/relationships/hyperlink" Target="https://en.wikipedia.org/wiki/Boone_County,_Kentucky" TargetMode="External"/><Relationship Id="rId3337" Type="http://schemas.openxmlformats.org/officeDocument/2006/relationships/hyperlink" Target="https://en.wikipedia.org/wiki/Cass_County,_Nebraska" TargetMode="External"/><Relationship Id="rId4668" Type="http://schemas.openxmlformats.org/officeDocument/2006/relationships/hyperlink" Target="https://en.wikipedia.org/wiki/South_Carolina" TargetMode="External"/><Relationship Id="rId2006" Type="http://schemas.openxmlformats.org/officeDocument/2006/relationships/hyperlink" Target="https://en.wikipedia.org/wiki/Kentucky" TargetMode="External"/><Relationship Id="rId3336" Type="http://schemas.openxmlformats.org/officeDocument/2006/relationships/hyperlink" Target="https://en.wikipedia.org/wiki/Nebraska" TargetMode="External"/><Relationship Id="rId4667" Type="http://schemas.openxmlformats.org/officeDocument/2006/relationships/hyperlink" Target="https://en.wikipedia.org/wiki/Darlington_County,_South_Carolina" TargetMode="External"/><Relationship Id="rId2007" Type="http://schemas.openxmlformats.org/officeDocument/2006/relationships/hyperlink" Target="https://en.wikipedia.org/wiki/Bourbon_County,_Kentucky" TargetMode="External"/><Relationship Id="rId3339" Type="http://schemas.openxmlformats.org/officeDocument/2006/relationships/hyperlink" Target="https://en.wikipedia.org/wiki/Cedar_County,_Nebraska" TargetMode="External"/><Relationship Id="rId5998" Type="http://schemas.openxmlformats.org/officeDocument/2006/relationships/hyperlink" Target="https://en.wikipedia.org/wiki/West_Virginia" TargetMode="External"/><Relationship Id="rId2008" Type="http://schemas.openxmlformats.org/officeDocument/2006/relationships/hyperlink" Target="https://en.wikipedia.org/wiki/Kentucky" TargetMode="External"/><Relationship Id="rId3338" Type="http://schemas.openxmlformats.org/officeDocument/2006/relationships/hyperlink" Target="https://en.wikipedia.org/wiki/Nebraska" TargetMode="External"/><Relationship Id="rId4669" Type="http://schemas.openxmlformats.org/officeDocument/2006/relationships/hyperlink" Target="https://en.wikipedia.org/wiki/Dillon_County,_South_Carolina" TargetMode="External"/><Relationship Id="rId5999" Type="http://schemas.openxmlformats.org/officeDocument/2006/relationships/hyperlink" Target="https://en.wikipedia.org/wiki/Brooke_County,_West_Virginia" TargetMode="External"/><Relationship Id="rId2009" Type="http://schemas.openxmlformats.org/officeDocument/2006/relationships/hyperlink" Target="https://en.wikipedia.org/wiki/Boyd_County,_Kentucky" TargetMode="External"/><Relationship Id="rId4660" Type="http://schemas.openxmlformats.org/officeDocument/2006/relationships/hyperlink" Target="https://en.wikipedia.org/wiki/South_Carolina" TargetMode="External"/><Relationship Id="rId5992" Type="http://schemas.openxmlformats.org/officeDocument/2006/relationships/hyperlink" Target="https://en.wikipedia.org/wiki/West_Virginia" TargetMode="External"/><Relationship Id="rId5993" Type="http://schemas.openxmlformats.org/officeDocument/2006/relationships/hyperlink" Target="https://en.wikipedia.org/wiki/Berkeley_County,_West_Virginia" TargetMode="External"/><Relationship Id="rId3331" Type="http://schemas.openxmlformats.org/officeDocument/2006/relationships/hyperlink" Target="https://en.wikipedia.org/wiki/Buffalo_County,_Nebraska" TargetMode="External"/><Relationship Id="rId4662" Type="http://schemas.openxmlformats.org/officeDocument/2006/relationships/hyperlink" Target="https://en.wikipedia.org/wiki/South_Carolina" TargetMode="External"/><Relationship Id="rId5990" Type="http://schemas.openxmlformats.org/officeDocument/2006/relationships/hyperlink" Target="https://en.wikipedia.org/wiki/West_Virginia" TargetMode="External"/><Relationship Id="rId2000" Type="http://schemas.openxmlformats.org/officeDocument/2006/relationships/hyperlink" Target="https://en.wikipedia.org/wiki/Kentucky" TargetMode="External"/><Relationship Id="rId3330" Type="http://schemas.openxmlformats.org/officeDocument/2006/relationships/hyperlink" Target="https://en.wikipedia.org/wiki/Nebraska" TargetMode="External"/><Relationship Id="rId4661" Type="http://schemas.openxmlformats.org/officeDocument/2006/relationships/hyperlink" Target="https://en.wikipedia.org/wiki/Chesterfield_County,_South_Carolina" TargetMode="External"/><Relationship Id="rId5991" Type="http://schemas.openxmlformats.org/officeDocument/2006/relationships/hyperlink" Target="https://en.wikipedia.org/wiki/Barbour_County,_West_Virginia" TargetMode="External"/><Relationship Id="rId2001" Type="http://schemas.openxmlformats.org/officeDocument/2006/relationships/hyperlink" Target="https://en.wikipedia.org/wiki/Bath_County,_Kentucky" TargetMode="External"/><Relationship Id="rId3333" Type="http://schemas.openxmlformats.org/officeDocument/2006/relationships/hyperlink" Target="https://en.wikipedia.org/wiki/Burt_County,_Nebraska" TargetMode="External"/><Relationship Id="rId4664" Type="http://schemas.openxmlformats.org/officeDocument/2006/relationships/hyperlink" Target="https://en.wikipedia.org/wiki/South_Carolina" TargetMode="External"/><Relationship Id="rId5996" Type="http://schemas.openxmlformats.org/officeDocument/2006/relationships/hyperlink" Target="https://en.wikipedia.org/wiki/West_Virginia" TargetMode="External"/><Relationship Id="rId2002" Type="http://schemas.openxmlformats.org/officeDocument/2006/relationships/hyperlink" Target="https://en.wikipedia.org/wiki/Kentucky" TargetMode="External"/><Relationship Id="rId3332" Type="http://schemas.openxmlformats.org/officeDocument/2006/relationships/hyperlink" Target="https://en.wikipedia.org/wiki/Nebraska" TargetMode="External"/><Relationship Id="rId4663" Type="http://schemas.openxmlformats.org/officeDocument/2006/relationships/hyperlink" Target="https://en.wikipedia.org/wiki/Clarendon_County,_South_Carolina" TargetMode="External"/><Relationship Id="rId5997" Type="http://schemas.openxmlformats.org/officeDocument/2006/relationships/hyperlink" Target="https://en.wikipedia.org/wiki/Braxton_County,_West_Virginia" TargetMode="External"/><Relationship Id="rId2003" Type="http://schemas.openxmlformats.org/officeDocument/2006/relationships/hyperlink" Target="https://en.wikipedia.org/wiki/Bell_County,_Kentucky" TargetMode="External"/><Relationship Id="rId3335" Type="http://schemas.openxmlformats.org/officeDocument/2006/relationships/hyperlink" Target="https://en.wikipedia.org/wiki/Butler_County,_Nebraska" TargetMode="External"/><Relationship Id="rId4666" Type="http://schemas.openxmlformats.org/officeDocument/2006/relationships/hyperlink" Target="https://en.wikipedia.org/wiki/South_Carolina" TargetMode="External"/><Relationship Id="rId5994" Type="http://schemas.openxmlformats.org/officeDocument/2006/relationships/hyperlink" Target="https://en.wikipedia.org/wiki/West_Virginia" TargetMode="External"/><Relationship Id="rId2004" Type="http://schemas.openxmlformats.org/officeDocument/2006/relationships/hyperlink" Target="https://en.wikipedia.org/wiki/Kentucky" TargetMode="External"/><Relationship Id="rId3334" Type="http://schemas.openxmlformats.org/officeDocument/2006/relationships/hyperlink" Target="https://en.wikipedia.org/wiki/Nebraska" TargetMode="External"/><Relationship Id="rId4665" Type="http://schemas.openxmlformats.org/officeDocument/2006/relationships/hyperlink" Target="https://en.wikipedia.org/wiki/Colleton_County,_South_Carolina" TargetMode="External"/><Relationship Id="rId5995" Type="http://schemas.openxmlformats.org/officeDocument/2006/relationships/hyperlink" Target="https://en.wikipedia.org/wiki/Boone_County,_West_Virginia" TargetMode="External"/><Relationship Id="rId3326" Type="http://schemas.openxmlformats.org/officeDocument/2006/relationships/hyperlink" Target="https://en.wikipedia.org/wiki/Nebraska" TargetMode="External"/><Relationship Id="rId4657" Type="http://schemas.openxmlformats.org/officeDocument/2006/relationships/hyperlink" Target="https://en.wikipedia.org/wiki/Cherokee_County,_South_Carolina" TargetMode="External"/><Relationship Id="rId5989" Type="http://schemas.openxmlformats.org/officeDocument/2006/relationships/hyperlink" Target="https://en.wikipedia.org/wiki/Yakima_County,_Washington" TargetMode="External"/><Relationship Id="rId3325" Type="http://schemas.openxmlformats.org/officeDocument/2006/relationships/hyperlink" Target="https://en.wikipedia.org/wiki/Box_Butte_County,_Nebraska" TargetMode="External"/><Relationship Id="rId4656" Type="http://schemas.openxmlformats.org/officeDocument/2006/relationships/hyperlink" Target="https://en.wikipedia.org/wiki/South_Carolina" TargetMode="External"/><Relationship Id="rId3328" Type="http://schemas.openxmlformats.org/officeDocument/2006/relationships/hyperlink" Target="https://en.wikipedia.org/wiki/Nebraska" TargetMode="External"/><Relationship Id="rId4659" Type="http://schemas.openxmlformats.org/officeDocument/2006/relationships/hyperlink" Target="https://en.wikipedia.org/wiki/Chester_County,_South_Carolina" TargetMode="External"/><Relationship Id="rId5987" Type="http://schemas.openxmlformats.org/officeDocument/2006/relationships/hyperlink" Target="https://en.wikipedia.org/wiki/Whitman_County,_Washington" TargetMode="External"/><Relationship Id="rId3327" Type="http://schemas.openxmlformats.org/officeDocument/2006/relationships/hyperlink" Target="https://en.wikipedia.org/wiki/Boyd_County,_Nebraska" TargetMode="External"/><Relationship Id="rId4658" Type="http://schemas.openxmlformats.org/officeDocument/2006/relationships/hyperlink" Target="https://en.wikipedia.org/wiki/South_Carolina" TargetMode="External"/><Relationship Id="rId5988" Type="http://schemas.openxmlformats.org/officeDocument/2006/relationships/hyperlink" Target="https://en.wikipedia.org/wiki/Washington" TargetMode="External"/><Relationship Id="rId3329" Type="http://schemas.openxmlformats.org/officeDocument/2006/relationships/hyperlink" Target="https://en.wikipedia.org/wiki/Brown_County,_Nebraska" TargetMode="External"/><Relationship Id="rId5981" Type="http://schemas.openxmlformats.org/officeDocument/2006/relationships/hyperlink" Target="https://en.wikipedia.org/wiki/Wahkiakum_County,_Washington" TargetMode="External"/><Relationship Id="rId5982" Type="http://schemas.openxmlformats.org/officeDocument/2006/relationships/hyperlink" Target="https://en.wikipedia.org/wiki/Washington" TargetMode="External"/><Relationship Id="rId3320" Type="http://schemas.openxmlformats.org/officeDocument/2006/relationships/hyperlink" Target="https://en.wikipedia.org/wiki/Nebraska" TargetMode="External"/><Relationship Id="rId4651" Type="http://schemas.openxmlformats.org/officeDocument/2006/relationships/hyperlink" Target="https://en.wikipedia.org/wiki/Berkeley_County,_South_Carolina" TargetMode="External"/><Relationship Id="rId4650" Type="http://schemas.openxmlformats.org/officeDocument/2006/relationships/hyperlink" Target="https://en.wikipedia.org/wiki/South_Carolina" TargetMode="External"/><Relationship Id="rId5980" Type="http://schemas.openxmlformats.org/officeDocument/2006/relationships/hyperlink" Target="https://en.wikipedia.org/wiki/Washington" TargetMode="External"/><Relationship Id="rId3322" Type="http://schemas.openxmlformats.org/officeDocument/2006/relationships/hyperlink" Target="https://en.wikipedia.org/wiki/Nebraska" TargetMode="External"/><Relationship Id="rId4653" Type="http://schemas.openxmlformats.org/officeDocument/2006/relationships/hyperlink" Target="https://en.wikipedia.org/wiki/Calhoun_County,_South_Carolina" TargetMode="External"/><Relationship Id="rId5985" Type="http://schemas.openxmlformats.org/officeDocument/2006/relationships/hyperlink" Target="https://en.wikipedia.org/wiki/Whatcom_County,_Washington" TargetMode="External"/><Relationship Id="rId3321" Type="http://schemas.openxmlformats.org/officeDocument/2006/relationships/hyperlink" Target="https://en.wikipedia.org/wiki/Blaine_County,_Nebraska" TargetMode="External"/><Relationship Id="rId4652" Type="http://schemas.openxmlformats.org/officeDocument/2006/relationships/hyperlink" Target="https://en.wikipedia.org/wiki/South_Carolina" TargetMode="External"/><Relationship Id="rId5986" Type="http://schemas.openxmlformats.org/officeDocument/2006/relationships/hyperlink" Target="https://en.wikipedia.org/wiki/Washington" TargetMode="External"/><Relationship Id="rId3324" Type="http://schemas.openxmlformats.org/officeDocument/2006/relationships/hyperlink" Target="https://en.wikipedia.org/wiki/Nebraska" TargetMode="External"/><Relationship Id="rId4655" Type="http://schemas.openxmlformats.org/officeDocument/2006/relationships/hyperlink" Target="https://en.wikipedia.org/wiki/Charleston_County,_South_Carolina" TargetMode="External"/><Relationship Id="rId5983" Type="http://schemas.openxmlformats.org/officeDocument/2006/relationships/hyperlink" Target="https://en.wikipedia.org/wiki/Walla_Walla_County,_Washington" TargetMode="External"/><Relationship Id="rId3323" Type="http://schemas.openxmlformats.org/officeDocument/2006/relationships/hyperlink" Target="https://en.wikipedia.org/wiki/Boone_County,_Nebraska" TargetMode="External"/><Relationship Id="rId4654" Type="http://schemas.openxmlformats.org/officeDocument/2006/relationships/hyperlink" Target="https://en.wikipedia.org/wiki/South_Carolina" TargetMode="External"/><Relationship Id="rId5984" Type="http://schemas.openxmlformats.org/officeDocument/2006/relationships/hyperlink" Target="https://en.wikipedia.org/wiki/Washington" TargetMode="External"/><Relationship Id="rId2090" Type="http://schemas.openxmlformats.org/officeDocument/2006/relationships/hyperlink" Target="https://en.wikipedia.org/wiki/Kentucky" TargetMode="External"/><Relationship Id="rId2091" Type="http://schemas.openxmlformats.org/officeDocument/2006/relationships/hyperlink" Target="https://en.wikipedia.org/wiki/Henderson_County,_Kentucky" TargetMode="External"/><Relationship Id="rId2092" Type="http://schemas.openxmlformats.org/officeDocument/2006/relationships/hyperlink" Target="https://en.wikipedia.org/wiki/Kentucky" TargetMode="External"/><Relationship Id="rId2093" Type="http://schemas.openxmlformats.org/officeDocument/2006/relationships/hyperlink" Target="https://en.wikipedia.org/wiki/Henry_County,_Kentucky" TargetMode="External"/><Relationship Id="rId2094" Type="http://schemas.openxmlformats.org/officeDocument/2006/relationships/hyperlink" Target="https://en.wikipedia.org/wiki/Kentucky" TargetMode="External"/><Relationship Id="rId2095" Type="http://schemas.openxmlformats.org/officeDocument/2006/relationships/hyperlink" Target="https://en.wikipedia.org/wiki/Hickman_County,_Kentucky" TargetMode="External"/><Relationship Id="rId2096" Type="http://schemas.openxmlformats.org/officeDocument/2006/relationships/hyperlink" Target="https://en.wikipedia.org/wiki/Kentucky" TargetMode="External"/><Relationship Id="rId2097" Type="http://schemas.openxmlformats.org/officeDocument/2006/relationships/hyperlink" Target="https://en.wikipedia.org/wiki/Hopkins_County,_Kentucky" TargetMode="External"/><Relationship Id="rId2098" Type="http://schemas.openxmlformats.org/officeDocument/2006/relationships/hyperlink" Target="https://en.wikipedia.org/wiki/Kentucky" TargetMode="External"/><Relationship Id="rId2099" Type="http://schemas.openxmlformats.org/officeDocument/2006/relationships/hyperlink" Target="https://en.wikipedia.org/wiki/Jackson_County,_Kentucky" TargetMode="External"/><Relationship Id="rId3391" Type="http://schemas.openxmlformats.org/officeDocument/2006/relationships/hyperlink" Target="https://en.wikipedia.org/wiki/Hall_County,_Nebraska" TargetMode="External"/><Relationship Id="rId2060" Type="http://schemas.openxmlformats.org/officeDocument/2006/relationships/hyperlink" Target="https://en.wikipedia.org/wiki/Kentucky" TargetMode="External"/><Relationship Id="rId3390" Type="http://schemas.openxmlformats.org/officeDocument/2006/relationships/hyperlink" Target="https://en.wikipedia.org/wiki/Nebraska" TargetMode="External"/><Relationship Id="rId2061" Type="http://schemas.openxmlformats.org/officeDocument/2006/relationships/hyperlink" Target="https://en.wikipedia.org/wiki/Floyd_County,_Kentucky" TargetMode="External"/><Relationship Id="rId3393" Type="http://schemas.openxmlformats.org/officeDocument/2006/relationships/hyperlink" Target="https://en.wikipedia.org/wiki/Hamilton_County,_Nebraska" TargetMode="External"/><Relationship Id="rId2062" Type="http://schemas.openxmlformats.org/officeDocument/2006/relationships/hyperlink" Target="https://en.wikipedia.org/wiki/Kentucky" TargetMode="External"/><Relationship Id="rId3392" Type="http://schemas.openxmlformats.org/officeDocument/2006/relationships/hyperlink" Target="https://en.wikipedia.org/wiki/Nebraska" TargetMode="External"/><Relationship Id="rId2063" Type="http://schemas.openxmlformats.org/officeDocument/2006/relationships/hyperlink" Target="https://en.wikipedia.org/wiki/Franklin_County,_Kentucky" TargetMode="External"/><Relationship Id="rId3395" Type="http://schemas.openxmlformats.org/officeDocument/2006/relationships/hyperlink" Target="https://en.wikipedia.org/wiki/Harlan_County,_Nebraska" TargetMode="External"/><Relationship Id="rId2064" Type="http://schemas.openxmlformats.org/officeDocument/2006/relationships/hyperlink" Target="https://en.wikipedia.org/wiki/Kentucky" TargetMode="External"/><Relationship Id="rId3394" Type="http://schemas.openxmlformats.org/officeDocument/2006/relationships/hyperlink" Target="https://en.wikipedia.org/wiki/Nebraska" TargetMode="External"/><Relationship Id="rId2065" Type="http://schemas.openxmlformats.org/officeDocument/2006/relationships/hyperlink" Target="https://en.wikipedia.org/wiki/Fulton_County,_Kentucky" TargetMode="External"/><Relationship Id="rId3397" Type="http://schemas.openxmlformats.org/officeDocument/2006/relationships/hyperlink" Target="https://en.wikipedia.org/wiki/Hayes_County,_Nebraska" TargetMode="External"/><Relationship Id="rId2066" Type="http://schemas.openxmlformats.org/officeDocument/2006/relationships/hyperlink" Target="https://en.wikipedia.org/wiki/Kentucky" TargetMode="External"/><Relationship Id="rId3396" Type="http://schemas.openxmlformats.org/officeDocument/2006/relationships/hyperlink" Target="https://en.wikipedia.org/wiki/Nebraska" TargetMode="External"/><Relationship Id="rId2067" Type="http://schemas.openxmlformats.org/officeDocument/2006/relationships/hyperlink" Target="https://en.wikipedia.org/wiki/Gallatin_County,_Kentucky" TargetMode="External"/><Relationship Id="rId3399" Type="http://schemas.openxmlformats.org/officeDocument/2006/relationships/hyperlink" Target="https://en.wikipedia.org/wiki/Hitchcock_County,_Nebraska" TargetMode="External"/><Relationship Id="rId2068" Type="http://schemas.openxmlformats.org/officeDocument/2006/relationships/hyperlink" Target="https://en.wikipedia.org/wiki/Kentucky" TargetMode="External"/><Relationship Id="rId3398" Type="http://schemas.openxmlformats.org/officeDocument/2006/relationships/hyperlink" Target="https://en.wikipedia.org/wiki/Nebraska" TargetMode="External"/><Relationship Id="rId2069" Type="http://schemas.openxmlformats.org/officeDocument/2006/relationships/hyperlink" Target="https://en.wikipedia.org/wiki/Garrard_County,_Kentucky" TargetMode="External"/><Relationship Id="rId3380" Type="http://schemas.openxmlformats.org/officeDocument/2006/relationships/hyperlink" Target="https://en.wikipedia.org/wiki/Nebraska" TargetMode="External"/><Relationship Id="rId2050" Type="http://schemas.openxmlformats.org/officeDocument/2006/relationships/hyperlink" Target="https://en.wikipedia.org/wiki/Kentucky" TargetMode="External"/><Relationship Id="rId3382" Type="http://schemas.openxmlformats.org/officeDocument/2006/relationships/hyperlink" Target="https://en.wikipedia.org/wiki/Nebraska" TargetMode="External"/><Relationship Id="rId2051" Type="http://schemas.openxmlformats.org/officeDocument/2006/relationships/hyperlink" Target="https://en.wikipedia.org/wiki/Edmonson_County,_Kentucky" TargetMode="External"/><Relationship Id="rId3381" Type="http://schemas.openxmlformats.org/officeDocument/2006/relationships/hyperlink" Target="https://en.wikipedia.org/wiki/Garden_County,_Nebraska" TargetMode="External"/><Relationship Id="rId2052" Type="http://schemas.openxmlformats.org/officeDocument/2006/relationships/hyperlink" Target="https://en.wikipedia.org/wiki/Kentucky" TargetMode="External"/><Relationship Id="rId3384" Type="http://schemas.openxmlformats.org/officeDocument/2006/relationships/hyperlink" Target="https://en.wikipedia.org/wiki/Nebraska" TargetMode="External"/><Relationship Id="rId2053" Type="http://schemas.openxmlformats.org/officeDocument/2006/relationships/hyperlink" Target="https://en.wikipedia.org/wiki/Elliott_County,_Kentucky" TargetMode="External"/><Relationship Id="rId3383" Type="http://schemas.openxmlformats.org/officeDocument/2006/relationships/hyperlink" Target="https://en.wikipedia.org/wiki/Garfield_County,_Nebraska" TargetMode="External"/><Relationship Id="rId2054" Type="http://schemas.openxmlformats.org/officeDocument/2006/relationships/hyperlink" Target="https://en.wikipedia.org/wiki/Kentucky" TargetMode="External"/><Relationship Id="rId3386" Type="http://schemas.openxmlformats.org/officeDocument/2006/relationships/hyperlink" Target="https://en.wikipedia.org/wiki/Nebraska" TargetMode="External"/><Relationship Id="rId2055" Type="http://schemas.openxmlformats.org/officeDocument/2006/relationships/hyperlink" Target="https://en.wikipedia.org/wiki/Estill_County,_Kentucky" TargetMode="External"/><Relationship Id="rId3385" Type="http://schemas.openxmlformats.org/officeDocument/2006/relationships/hyperlink" Target="https://en.wikipedia.org/wiki/Gosper_County,_Nebraska" TargetMode="External"/><Relationship Id="rId2056" Type="http://schemas.openxmlformats.org/officeDocument/2006/relationships/hyperlink" Target="https://en.wikipedia.org/wiki/Kentucky" TargetMode="External"/><Relationship Id="rId3388" Type="http://schemas.openxmlformats.org/officeDocument/2006/relationships/hyperlink" Target="https://en.wikipedia.org/wiki/Nebraska" TargetMode="External"/><Relationship Id="rId2057" Type="http://schemas.openxmlformats.org/officeDocument/2006/relationships/hyperlink" Target="https://en.wikipedia.org/wiki/Fayette_County,_Kentucky" TargetMode="External"/><Relationship Id="rId3387" Type="http://schemas.openxmlformats.org/officeDocument/2006/relationships/hyperlink" Target="https://en.wikipedia.org/wiki/Grant_County,_Nebraska" TargetMode="External"/><Relationship Id="rId2058" Type="http://schemas.openxmlformats.org/officeDocument/2006/relationships/hyperlink" Target="https://en.wikipedia.org/wiki/Kentucky" TargetMode="External"/><Relationship Id="rId2059" Type="http://schemas.openxmlformats.org/officeDocument/2006/relationships/hyperlink" Target="https://en.wikipedia.org/wiki/Fleming_County,_Kentucky" TargetMode="External"/><Relationship Id="rId3389" Type="http://schemas.openxmlformats.org/officeDocument/2006/relationships/hyperlink" Target="https://en.wikipedia.org/wiki/Greeley_County,_Nebraska" TargetMode="External"/><Relationship Id="rId2080" Type="http://schemas.openxmlformats.org/officeDocument/2006/relationships/hyperlink" Target="https://en.wikipedia.org/wiki/Kentucky" TargetMode="External"/><Relationship Id="rId2081" Type="http://schemas.openxmlformats.org/officeDocument/2006/relationships/hyperlink" Target="https://en.wikipedia.org/wiki/Hancock_County,_Kentucky" TargetMode="External"/><Relationship Id="rId2082" Type="http://schemas.openxmlformats.org/officeDocument/2006/relationships/hyperlink" Target="https://en.wikipedia.org/wiki/Kentucky" TargetMode="External"/><Relationship Id="rId2083" Type="http://schemas.openxmlformats.org/officeDocument/2006/relationships/hyperlink" Target="https://en.wikipedia.org/wiki/Hardin_County,_Kentucky" TargetMode="External"/><Relationship Id="rId2084" Type="http://schemas.openxmlformats.org/officeDocument/2006/relationships/hyperlink" Target="https://en.wikipedia.org/wiki/Kentucky" TargetMode="External"/><Relationship Id="rId2085" Type="http://schemas.openxmlformats.org/officeDocument/2006/relationships/hyperlink" Target="https://en.wikipedia.org/wiki/Harlan_County,_Kentucky" TargetMode="External"/><Relationship Id="rId2086" Type="http://schemas.openxmlformats.org/officeDocument/2006/relationships/hyperlink" Target="https://en.wikipedia.org/wiki/Kentucky" TargetMode="External"/><Relationship Id="rId2087" Type="http://schemas.openxmlformats.org/officeDocument/2006/relationships/hyperlink" Target="https://en.wikipedia.org/wiki/Harrison_County,_Kentucky" TargetMode="External"/><Relationship Id="rId2088" Type="http://schemas.openxmlformats.org/officeDocument/2006/relationships/hyperlink" Target="https://en.wikipedia.org/wiki/Kentucky" TargetMode="External"/><Relationship Id="rId2089" Type="http://schemas.openxmlformats.org/officeDocument/2006/relationships/hyperlink" Target="https://en.wikipedia.org/wiki/Hart_County,_Kentucky" TargetMode="External"/><Relationship Id="rId2070" Type="http://schemas.openxmlformats.org/officeDocument/2006/relationships/hyperlink" Target="https://en.wikipedia.org/wiki/Kentucky" TargetMode="External"/><Relationship Id="rId2071" Type="http://schemas.openxmlformats.org/officeDocument/2006/relationships/hyperlink" Target="https://en.wikipedia.org/wiki/Grant_County,_Kentucky" TargetMode="External"/><Relationship Id="rId2072" Type="http://schemas.openxmlformats.org/officeDocument/2006/relationships/hyperlink" Target="https://en.wikipedia.org/wiki/Kentucky" TargetMode="External"/><Relationship Id="rId2073" Type="http://schemas.openxmlformats.org/officeDocument/2006/relationships/hyperlink" Target="https://en.wikipedia.org/wiki/Graves_County,_Kentucky" TargetMode="External"/><Relationship Id="rId2074" Type="http://schemas.openxmlformats.org/officeDocument/2006/relationships/hyperlink" Target="https://en.wikipedia.org/wiki/Kentucky" TargetMode="External"/><Relationship Id="rId2075" Type="http://schemas.openxmlformats.org/officeDocument/2006/relationships/hyperlink" Target="https://en.wikipedia.org/wiki/Grayson_County,_Kentucky" TargetMode="External"/><Relationship Id="rId2076" Type="http://schemas.openxmlformats.org/officeDocument/2006/relationships/hyperlink" Target="https://en.wikipedia.org/wiki/Kentucky" TargetMode="External"/><Relationship Id="rId2077" Type="http://schemas.openxmlformats.org/officeDocument/2006/relationships/hyperlink" Target="https://en.wikipedia.org/wiki/Green_County,_Kentucky" TargetMode="External"/><Relationship Id="rId2078" Type="http://schemas.openxmlformats.org/officeDocument/2006/relationships/hyperlink" Target="https://en.wikipedia.org/wiki/Kentucky" TargetMode="External"/><Relationship Id="rId2079" Type="http://schemas.openxmlformats.org/officeDocument/2006/relationships/hyperlink" Target="https://en.wikipedia.org/wiki/Greenup_County,_Kentucky" TargetMode="External"/><Relationship Id="rId4723" Type="http://schemas.openxmlformats.org/officeDocument/2006/relationships/hyperlink" Target="https://en.wikipedia.org/wiki/Union_County,_South_Carolina" TargetMode="External"/><Relationship Id="rId4722" Type="http://schemas.openxmlformats.org/officeDocument/2006/relationships/hyperlink" Target="https://en.wikipedia.org/wiki/South_Carolina" TargetMode="External"/><Relationship Id="rId4725" Type="http://schemas.openxmlformats.org/officeDocument/2006/relationships/hyperlink" Target="https://en.wikipedia.org/wiki/Williamsburg_County,_South_Carolina" TargetMode="External"/><Relationship Id="rId4724" Type="http://schemas.openxmlformats.org/officeDocument/2006/relationships/hyperlink" Target="https://en.wikipedia.org/wiki/South_Carolina" TargetMode="External"/><Relationship Id="rId4727" Type="http://schemas.openxmlformats.org/officeDocument/2006/relationships/hyperlink" Target="https://en.wikipedia.org/wiki/York_County,_South_Carolina" TargetMode="External"/><Relationship Id="rId4726" Type="http://schemas.openxmlformats.org/officeDocument/2006/relationships/hyperlink" Target="https://en.wikipedia.org/wiki/South_Carolina" TargetMode="External"/><Relationship Id="rId4729" Type="http://schemas.openxmlformats.org/officeDocument/2006/relationships/hyperlink" Target="https://en.wikipedia.org/wiki/Aurora_County,_South_Dakota" TargetMode="External"/><Relationship Id="rId4728" Type="http://schemas.openxmlformats.org/officeDocument/2006/relationships/hyperlink" Target="https://en.wikipedia.org/wiki/South_Dakota" TargetMode="External"/><Relationship Id="rId4721" Type="http://schemas.openxmlformats.org/officeDocument/2006/relationships/hyperlink" Target="https://en.wikipedia.org/wiki/Sumter_County,_South_Carolina" TargetMode="External"/><Relationship Id="rId4720" Type="http://schemas.openxmlformats.org/officeDocument/2006/relationships/hyperlink" Target="https://en.wikipedia.org/wiki/South_Carolina" TargetMode="External"/><Relationship Id="rId4712" Type="http://schemas.openxmlformats.org/officeDocument/2006/relationships/hyperlink" Target="https://en.wikipedia.org/wiki/South_Carolina" TargetMode="External"/><Relationship Id="rId4711" Type="http://schemas.openxmlformats.org/officeDocument/2006/relationships/hyperlink" Target="https://en.wikipedia.org/wiki/Orangeburg_County,_South_Carolina" TargetMode="External"/><Relationship Id="rId4714" Type="http://schemas.openxmlformats.org/officeDocument/2006/relationships/hyperlink" Target="https://en.wikipedia.org/wiki/South_Carolina" TargetMode="External"/><Relationship Id="rId4713" Type="http://schemas.openxmlformats.org/officeDocument/2006/relationships/hyperlink" Target="https://en.wikipedia.org/wiki/Pickens_County,_South_Carolina" TargetMode="External"/><Relationship Id="rId4716" Type="http://schemas.openxmlformats.org/officeDocument/2006/relationships/hyperlink" Target="https://en.wikipedia.org/wiki/South_Carolina" TargetMode="External"/><Relationship Id="rId4715" Type="http://schemas.openxmlformats.org/officeDocument/2006/relationships/hyperlink" Target="https://en.wikipedia.org/wiki/Richland_County,_South_Carolina" TargetMode="External"/><Relationship Id="rId4718" Type="http://schemas.openxmlformats.org/officeDocument/2006/relationships/hyperlink" Target="https://en.wikipedia.org/wiki/South_Carolina" TargetMode="External"/><Relationship Id="rId4717" Type="http://schemas.openxmlformats.org/officeDocument/2006/relationships/hyperlink" Target="https://en.wikipedia.org/wiki/Saluda_County,_South_Carolina" TargetMode="External"/><Relationship Id="rId4719" Type="http://schemas.openxmlformats.org/officeDocument/2006/relationships/hyperlink" Target="https://en.wikipedia.org/wiki/Spartanburg_County,_South_Carolina" TargetMode="External"/><Relationship Id="rId4710" Type="http://schemas.openxmlformats.org/officeDocument/2006/relationships/hyperlink" Target="https://en.wikipedia.org/wiki/South_Carolina" TargetMode="External"/><Relationship Id="rId3414" Type="http://schemas.openxmlformats.org/officeDocument/2006/relationships/hyperlink" Target="https://en.wikipedia.org/wiki/Nebraska" TargetMode="External"/><Relationship Id="rId4745" Type="http://schemas.openxmlformats.org/officeDocument/2006/relationships/hyperlink" Target="https://en.wikipedia.org/wiki/Butte_County,_South_Dakota" TargetMode="External"/><Relationship Id="rId3413" Type="http://schemas.openxmlformats.org/officeDocument/2006/relationships/hyperlink" Target="https://en.wikipedia.org/wiki/Keith_County,_Nebraska" TargetMode="External"/><Relationship Id="rId4744" Type="http://schemas.openxmlformats.org/officeDocument/2006/relationships/hyperlink" Target="https://en.wikipedia.org/wiki/South_Dakota" TargetMode="External"/><Relationship Id="rId3416" Type="http://schemas.openxmlformats.org/officeDocument/2006/relationships/hyperlink" Target="https://en.wikipedia.org/wiki/Nebraska" TargetMode="External"/><Relationship Id="rId4747" Type="http://schemas.openxmlformats.org/officeDocument/2006/relationships/hyperlink" Target="https://en.wikipedia.org/wiki/Campbell_County,_South_Dakota" TargetMode="External"/><Relationship Id="rId3415" Type="http://schemas.openxmlformats.org/officeDocument/2006/relationships/hyperlink" Target="https://en.wikipedia.org/wiki/Keya_Paha_County,_Nebraska" TargetMode="External"/><Relationship Id="rId4746" Type="http://schemas.openxmlformats.org/officeDocument/2006/relationships/hyperlink" Target="https://en.wikipedia.org/wiki/South_Dakota" TargetMode="External"/><Relationship Id="rId3418" Type="http://schemas.openxmlformats.org/officeDocument/2006/relationships/hyperlink" Target="https://en.wikipedia.org/wiki/Nebraska" TargetMode="External"/><Relationship Id="rId4749" Type="http://schemas.openxmlformats.org/officeDocument/2006/relationships/hyperlink" Target="https://en.wikipedia.org/wiki/Charles_Mix_County,_South_Dakota" TargetMode="External"/><Relationship Id="rId3417" Type="http://schemas.openxmlformats.org/officeDocument/2006/relationships/hyperlink" Target="https://en.wikipedia.org/wiki/Kimball_County,_Nebraska" TargetMode="External"/><Relationship Id="rId4748" Type="http://schemas.openxmlformats.org/officeDocument/2006/relationships/hyperlink" Target="https://en.wikipedia.org/wiki/South_Dakota" TargetMode="External"/><Relationship Id="rId3419" Type="http://schemas.openxmlformats.org/officeDocument/2006/relationships/hyperlink" Target="https://en.wikipedia.org/wiki/Knox_County,_Nebraska" TargetMode="External"/><Relationship Id="rId3410" Type="http://schemas.openxmlformats.org/officeDocument/2006/relationships/hyperlink" Target="https://en.wikipedia.org/wiki/Nebraska" TargetMode="External"/><Relationship Id="rId4741" Type="http://schemas.openxmlformats.org/officeDocument/2006/relationships/hyperlink" Target="https://en.wikipedia.org/wiki/Brule_County,_South_Dakota" TargetMode="External"/><Relationship Id="rId4740" Type="http://schemas.openxmlformats.org/officeDocument/2006/relationships/hyperlink" Target="https://en.wikipedia.org/wiki/South_Dakota" TargetMode="External"/><Relationship Id="rId3412" Type="http://schemas.openxmlformats.org/officeDocument/2006/relationships/hyperlink" Target="https://en.wikipedia.org/wiki/Nebraska" TargetMode="External"/><Relationship Id="rId4743" Type="http://schemas.openxmlformats.org/officeDocument/2006/relationships/hyperlink" Target="https://en.wikipedia.org/wiki/Buffalo_County,_South_Dakota" TargetMode="External"/><Relationship Id="rId3411" Type="http://schemas.openxmlformats.org/officeDocument/2006/relationships/hyperlink" Target="https://en.wikipedia.org/wiki/Kearney_County,_Nebraska" TargetMode="External"/><Relationship Id="rId4742" Type="http://schemas.openxmlformats.org/officeDocument/2006/relationships/hyperlink" Target="https://en.wikipedia.org/wiki/South_Dakota" TargetMode="External"/><Relationship Id="rId3403" Type="http://schemas.openxmlformats.org/officeDocument/2006/relationships/hyperlink" Target="https://en.wikipedia.org/wiki/Hooker_County,_Nebraska" TargetMode="External"/><Relationship Id="rId4734" Type="http://schemas.openxmlformats.org/officeDocument/2006/relationships/hyperlink" Target="https://en.wikipedia.org/wiki/South_Dakota" TargetMode="External"/><Relationship Id="rId3402" Type="http://schemas.openxmlformats.org/officeDocument/2006/relationships/hyperlink" Target="https://en.wikipedia.org/wiki/Nebraska" TargetMode="External"/><Relationship Id="rId4733" Type="http://schemas.openxmlformats.org/officeDocument/2006/relationships/hyperlink" Target="https://en.wikipedia.org/wiki/Bennett_County,_South_Dakota" TargetMode="External"/><Relationship Id="rId3405" Type="http://schemas.openxmlformats.org/officeDocument/2006/relationships/hyperlink" Target="https://en.wikipedia.org/wiki/Howard_County,_Nebraska" TargetMode="External"/><Relationship Id="rId4736" Type="http://schemas.openxmlformats.org/officeDocument/2006/relationships/hyperlink" Target="https://en.wikipedia.org/wiki/South_Dakota" TargetMode="External"/><Relationship Id="rId3404" Type="http://schemas.openxmlformats.org/officeDocument/2006/relationships/hyperlink" Target="https://en.wikipedia.org/wiki/Nebraska" TargetMode="External"/><Relationship Id="rId4735" Type="http://schemas.openxmlformats.org/officeDocument/2006/relationships/hyperlink" Target="https://en.wikipedia.org/wiki/Bon_Homme_County,_South_Dakota" TargetMode="External"/><Relationship Id="rId3407" Type="http://schemas.openxmlformats.org/officeDocument/2006/relationships/hyperlink" Target="https://en.wikipedia.org/wiki/Jefferson_County,_Nebraska" TargetMode="External"/><Relationship Id="rId4738" Type="http://schemas.openxmlformats.org/officeDocument/2006/relationships/hyperlink" Target="https://en.wikipedia.org/wiki/South_Dakota" TargetMode="External"/><Relationship Id="rId3406" Type="http://schemas.openxmlformats.org/officeDocument/2006/relationships/hyperlink" Target="https://en.wikipedia.org/wiki/Nebraska" TargetMode="External"/><Relationship Id="rId4737" Type="http://schemas.openxmlformats.org/officeDocument/2006/relationships/hyperlink" Target="https://en.wikipedia.org/wiki/Brookings_County,_South_Dakota" TargetMode="External"/><Relationship Id="rId3409" Type="http://schemas.openxmlformats.org/officeDocument/2006/relationships/hyperlink" Target="https://en.wikipedia.org/wiki/Johnson_County,_Nebraska" TargetMode="External"/><Relationship Id="rId3408" Type="http://schemas.openxmlformats.org/officeDocument/2006/relationships/hyperlink" Target="https://en.wikipedia.org/wiki/Nebraska" TargetMode="External"/><Relationship Id="rId4739" Type="http://schemas.openxmlformats.org/officeDocument/2006/relationships/hyperlink" Target="https://en.wikipedia.org/wiki/Brown_County,_South_Dakota" TargetMode="External"/><Relationship Id="rId4730" Type="http://schemas.openxmlformats.org/officeDocument/2006/relationships/hyperlink" Target="https://en.wikipedia.org/wiki/South_Dakota" TargetMode="External"/><Relationship Id="rId3401" Type="http://schemas.openxmlformats.org/officeDocument/2006/relationships/hyperlink" Target="https://en.wikipedia.org/wiki/Holt_County,_Nebraska" TargetMode="External"/><Relationship Id="rId4732" Type="http://schemas.openxmlformats.org/officeDocument/2006/relationships/hyperlink" Target="https://en.wikipedia.org/wiki/South_Dakota" TargetMode="External"/><Relationship Id="rId3400" Type="http://schemas.openxmlformats.org/officeDocument/2006/relationships/hyperlink" Target="https://en.wikipedia.org/wiki/Nebraska" TargetMode="External"/><Relationship Id="rId4731" Type="http://schemas.openxmlformats.org/officeDocument/2006/relationships/hyperlink" Target="https://en.wikipedia.org/wiki/Beadle_County,_South_Dakota" TargetMode="External"/><Relationship Id="rId4701" Type="http://schemas.openxmlformats.org/officeDocument/2006/relationships/hyperlink" Target="https://en.wikipedia.org/wiki/McCormick_County,_South_Carolina" TargetMode="External"/><Relationship Id="rId4700" Type="http://schemas.openxmlformats.org/officeDocument/2006/relationships/hyperlink" Target="https://en.wikipedia.org/wiki/South_Carolina" TargetMode="External"/><Relationship Id="rId4703" Type="http://schemas.openxmlformats.org/officeDocument/2006/relationships/hyperlink" Target="https://en.wikipedia.org/wiki/Marion_County,_South_Carolina" TargetMode="External"/><Relationship Id="rId4702" Type="http://schemas.openxmlformats.org/officeDocument/2006/relationships/hyperlink" Target="https://en.wikipedia.org/wiki/South_Carolina" TargetMode="External"/><Relationship Id="rId4705" Type="http://schemas.openxmlformats.org/officeDocument/2006/relationships/hyperlink" Target="https://en.wikipedia.org/wiki/Marlboro_County,_South_Carolina" TargetMode="External"/><Relationship Id="rId4704" Type="http://schemas.openxmlformats.org/officeDocument/2006/relationships/hyperlink" Target="https://en.wikipedia.org/wiki/South_Carolina" TargetMode="External"/><Relationship Id="rId4707" Type="http://schemas.openxmlformats.org/officeDocument/2006/relationships/hyperlink" Target="https://en.wikipedia.org/wiki/Newberry_County,_South_Carolina" TargetMode="External"/><Relationship Id="rId4706" Type="http://schemas.openxmlformats.org/officeDocument/2006/relationships/hyperlink" Target="https://en.wikipedia.org/wiki/South_Carolina" TargetMode="External"/><Relationship Id="rId4709" Type="http://schemas.openxmlformats.org/officeDocument/2006/relationships/hyperlink" Target="https://en.wikipedia.org/wiki/Oconee_County,_South_Carolina" TargetMode="External"/><Relationship Id="rId4708" Type="http://schemas.openxmlformats.org/officeDocument/2006/relationships/hyperlink" Target="https://en.wikipedia.org/wiki/South_Carolina" TargetMode="External"/><Relationship Id="rId2148" Type="http://schemas.openxmlformats.org/officeDocument/2006/relationships/hyperlink" Target="https://en.wikipedia.org/wiki/Kentucky" TargetMode="External"/><Relationship Id="rId2149" Type="http://schemas.openxmlformats.org/officeDocument/2006/relationships/hyperlink" Target="https://en.wikipedia.org/wiki/Martin_County,_Kentucky" TargetMode="External"/><Relationship Id="rId3479" Type="http://schemas.openxmlformats.org/officeDocument/2006/relationships/hyperlink" Target="https://en.wikipedia.org/wiki/Stanton_County,_Nebraska" TargetMode="External"/><Relationship Id="rId3470" Type="http://schemas.openxmlformats.org/officeDocument/2006/relationships/hyperlink" Target="https://en.wikipedia.org/wiki/Nebraska" TargetMode="External"/><Relationship Id="rId2140" Type="http://schemas.openxmlformats.org/officeDocument/2006/relationships/hyperlink" Target="https://en.wikipedia.org/wiki/Kentucky" TargetMode="External"/><Relationship Id="rId3472" Type="http://schemas.openxmlformats.org/officeDocument/2006/relationships/hyperlink" Target="https://en.wikipedia.org/wiki/Nebraska" TargetMode="External"/><Relationship Id="rId2141" Type="http://schemas.openxmlformats.org/officeDocument/2006/relationships/hyperlink" Target="https://en.wikipedia.org/wiki/Madison_County,_Kentucky" TargetMode="External"/><Relationship Id="rId3471" Type="http://schemas.openxmlformats.org/officeDocument/2006/relationships/hyperlink" Target="https://en.wikipedia.org/wiki/Seward_County,_Nebraska" TargetMode="External"/><Relationship Id="rId2142" Type="http://schemas.openxmlformats.org/officeDocument/2006/relationships/hyperlink" Target="https://en.wikipedia.org/wiki/Kentucky" TargetMode="External"/><Relationship Id="rId3474" Type="http://schemas.openxmlformats.org/officeDocument/2006/relationships/hyperlink" Target="https://en.wikipedia.org/wiki/Nebraska" TargetMode="External"/><Relationship Id="rId2143" Type="http://schemas.openxmlformats.org/officeDocument/2006/relationships/hyperlink" Target="https://en.wikipedia.org/wiki/Magoffin_County,_Kentucky" TargetMode="External"/><Relationship Id="rId3473" Type="http://schemas.openxmlformats.org/officeDocument/2006/relationships/hyperlink" Target="https://en.wikipedia.org/wiki/Sheridan_County,_Nebraska" TargetMode="External"/><Relationship Id="rId2144" Type="http://schemas.openxmlformats.org/officeDocument/2006/relationships/hyperlink" Target="https://en.wikipedia.org/wiki/Kentucky" TargetMode="External"/><Relationship Id="rId3476" Type="http://schemas.openxmlformats.org/officeDocument/2006/relationships/hyperlink" Target="https://en.wikipedia.org/wiki/Nebraska" TargetMode="External"/><Relationship Id="rId2145" Type="http://schemas.openxmlformats.org/officeDocument/2006/relationships/hyperlink" Target="https://en.wikipedia.org/wiki/Marion_County,_Kentucky" TargetMode="External"/><Relationship Id="rId3475" Type="http://schemas.openxmlformats.org/officeDocument/2006/relationships/hyperlink" Target="https://en.wikipedia.org/wiki/Sherman_County,_Nebraska" TargetMode="External"/><Relationship Id="rId2146" Type="http://schemas.openxmlformats.org/officeDocument/2006/relationships/hyperlink" Target="https://en.wikipedia.org/wiki/Kentucky" TargetMode="External"/><Relationship Id="rId3478" Type="http://schemas.openxmlformats.org/officeDocument/2006/relationships/hyperlink" Target="https://en.wikipedia.org/wiki/Nebraska" TargetMode="External"/><Relationship Id="rId2147" Type="http://schemas.openxmlformats.org/officeDocument/2006/relationships/hyperlink" Target="https://en.wikipedia.org/wiki/Marshall_County,_Kentucky" TargetMode="External"/><Relationship Id="rId3477" Type="http://schemas.openxmlformats.org/officeDocument/2006/relationships/hyperlink" Target="https://en.wikipedia.org/wiki/Sioux_County,_Nebraska" TargetMode="External"/><Relationship Id="rId2137" Type="http://schemas.openxmlformats.org/officeDocument/2006/relationships/hyperlink" Target="https://en.wikipedia.org/wiki/McCreary_County,_Kentucky" TargetMode="External"/><Relationship Id="rId3469" Type="http://schemas.openxmlformats.org/officeDocument/2006/relationships/hyperlink" Target="https://en.wikipedia.org/wiki/Scotts_Bluff_County,_Nebraska" TargetMode="External"/><Relationship Id="rId2138" Type="http://schemas.openxmlformats.org/officeDocument/2006/relationships/hyperlink" Target="https://en.wikipedia.org/wiki/Kentucky" TargetMode="External"/><Relationship Id="rId3468" Type="http://schemas.openxmlformats.org/officeDocument/2006/relationships/hyperlink" Target="https://en.wikipedia.org/wiki/Nebraska" TargetMode="External"/><Relationship Id="rId4799" Type="http://schemas.openxmlformats.org/officeDocument/2006/relationships/hyperlink" Target="https://en.wikipedia.org/wiki/Jerauld_County,_South_Dakota" TargetMode="External"/><Relationship Id="rId2139" Type="http://schemas.openxmlformats.org/officeDocument/2006/relationships/hyperlink" Target="https://en.wikipedia.org/wiki/McLean_County,_Kentucky" TargetMode="External"/><Relationship Id="rId4790" Type="http://schemas.openxmlformats.org/officeDocument/2006/relationships/hyperlink" Target="https://en.wikipedia.org/wiki/South_Dakota" TargetMode="External"/><Relationship Id="rId3461" Type="http://schemas.openxmlformats.org/officeDocument/2006/relationships/hyperlink" Target="https://en.wikipedia.org/wiki/Rock_County,_Nebraska" TargetMode="External"/><Relationship Id="rId4792" Type="http://schemas.openxmlformats.org/officeDocument/2006/relationships/hyperlink" Target="https://en.wikipedia.org/wiki/South_Dakota" TargetMode="External"/><Relationship Id="rId2130" Type="http://schemas.openxmlformats.org/officeDocument/2006/relationships/hyperlink" Target="https://en.wikipedia.org/wiki/Kentucky" TargetMode="External"/><Relationship Id="rId3460" Type="http://schemas.openxmlformats.org/officeDocument/2006/relationships/hyperlink" Target="https://en.wikipedia.org/wiki/Nebraska" TargetMode="External"/><Relationship Id="rId4791" Type="http://schemas.openxmlformats.org/officeDocument/2006/relationships/hyperlink" Target="https://en.wikipedia.org/wiki/Hughes_County,_South_Dakota" TargetMode="External"/><Relationship Id="rId2131" Type="http://schemas.openxmlformats.org/officeDocument/2006/relationships/hyperlink" Target="https://en.wikipedia.org/wiki/Logan_County,_Kentucky" TargetMode="External"/><Relationship Id="rId3463" Type="http://schemas.openxmlformats.org/officeDocument/2006/relationships/hyperlink" Target="https://en.wikipedia.org/wiki/Saline_County,_Nebraska" TargetMode="External"/><Relationship Id="rId4794" Type="http://schemas.openxmlformats.org/officeDocument/2006/relationships/hyperlink" Target="https://en.wikipedia.org/wiki/South_Dakota" TargetMode="External"/><Relationship Id="rId2132" Type="http://schemas.openxmlformats.org/officeDocument/2006/relationships/hyperlink" Target="https://en.wikipedia.org/wiki/Kentucky" TargetMode="External"/><Relationship Id="rId3462" Type="http://schemas.openxmlformats.org/officeDocument/2006/relationships/hyperlink" Target="https://en.wikipedia.org/wiki/Nebraska" TargetMode="External"/><Relationship Id="rId4793" Type="http://schemas.openxmlformats.org/officeDocument/2006/relationships/hyperlink" Target="https://en.wikipedia.org/wiki/Hutchinson_County,_South_Dakota" TargetMode="External"/><Relationship Id="rId2133" Type="http://schemas.openxmlformats.org/officeDocument/2006/relationships/hyperlink" Target="https://en.wikipedia.org/wiki/Lyon_County,_Kentucky" TargetMode="External"/><Relationship Id="rId3465" Type="http://schemas.openxmlformats.org/officeDocument/2006/relationships/hyperlink" Target="https://en.wikipedia.org/wiki/Sarpy_County,_Nebraska" TargetMode="External"/><Relationship Id="rId4796" Type="http://schemas.openxmlformats.org/officeDocument/2006/relationships/hyperlink" Target="https://en.wikipedia.org/wiki/South_Dakota" TargetMode="External"/><Relationship Id="rId2134" Type="http://schemas.openxmlformats.org/officeDocument/2006/relationships/hyperlink" Target="https://en.wikipedia.org/wiki/Kentucky" TargetMode="External"/><Relationship Id="rId3464" Type="http://schemas.openxmlformats.org/officeDocument/2006/relationships/hyperlink" Target="https://en.wikipedia.org/wiki/Nebraska" TargetMode="External"/><Relationship Id="rId4795" Type="http://schemas.openxmlformats.org/officeDocument/2006/relationships/hyperlink" Target="https://en.wikipedia.org/wiki/Hyde_County,_South_Dakota" TargetMode="External"/><Relationship Id="rId2135" Type="http://schemas.openxmlformats.org/officeDocument/2006/relationships/hyperlink" Target="https://en.wikipedia.org/wiki/McCracken_County,_Kentucky" TargetMode="External"/><Relationship Id="rId3467" Type="http://schemas.openxmlformats.org/officeDocument/2006/relationships/hyperlink" Target="https://en.wikipedia.org/wiki/Saunders_County,_Nebraska" TargetMode="External"/><Relationship Id="rId4798" Type="http://schemas.openxmlformats.org/officeDocument/2006/relationships/hyperlink" Target="https://en.wikipedia.org/wiki/South_Dakota" TargetMode="External"/><Relationship Id="rId2136" Type="http://schemas.openxmlformats.org/officeDocument/2006/relationships/hyperlink" Target="https://en.wikipedia.org/wiki/Kentucky" TargetMode="External"/><Relationship Id="rId3466" Type="http://schemas.openxmlformats.org/officeDocument/2006/relationships/hyperlink" Target="https://en.wikipedia.org/wiki/Nebraska" TargetMode="External"/><Relationship Id="rId4797" Type="http://schemas.openxmlformats.org/officeDocument/2006/relationships/hyperlink" Target="https://en.wikipedia.org/wiki/Jackson_County,_South_Dakota" TargetMode="External"/><Relationship Id="rId3490" Type="http://schemas.openxmlformats.org/officeDocument/2006/relationships/hyperlink" Target="https://en.wikipedia.org/wiki/Nebraska" TargetMode="External"/><Relationship Id="rId2160" Type="http://schemas.openxmlformats.org/officeDocument/2006/relationships/hyperlink" Target="https://en.wikipedia.org/wiki/Kentucky" TargetMode="External"/><Relationship Id="rId3492" Type="http://schemas.openxmlformats.org/officeDocument/2006/relationships/hyperlink" Target="https://en.wikipedia.org/wiki/Nebraska" TargetMode="External"/><Relationship Id="rId2161" Type="http://schemas.openxmlformats.org/officeDocument/2006/relationships/hyperlink" Target="https://en.wikipedia.org/wiki/Monroe_County,_Kentucky" TargetMode="External"/><Relationship Id="rId3491" Type="http://schemas.openxmlformats.org/officeDocument/2006/relationships/hyperlink" Target="https://en.wikipedia.org/wiki/Wayne_County,_Nebraska" TargetMode="External"/><Relationship Id="rId2162" Type="http://schemas.openxmlformats.org/officeDocument/2006/relationships/hyperlink" Target="https://en.wikipedia.org/wiki/Kentucky" TargetMode="External"/><Relationship Id="rId3494" Type="http://schemas.openxmlformats.org/officeDocument/2006/relationships/hyperlink" Target="https://en.wikipedia.org/wiki/Nebraska" TargetMode="External"/><Relationship Id="rId2163" Type="http://schemas.openxmlformats.org/officeDocument/2006/relationships/hyperlink" Target="https://en.wikipedia.org/wiki/Montgomery_County,_Kentucky" TargetMode="External"/><Relationship Id="rId3493" Type="http://schemas.openxmlformats.org/officeDocument/2006/relationships/hyperlink" Target="https://en.wikipedia.org/wiki/Webster_County,_Nebraska" TargetMode="External"/><Relationship Id="rId2164" Type="http://schemas.openxmlformats.org/officeDocument/2006/relationships/hyperlink" Target="https://en.wikipedia.org/wiki/Kentucky" TargetMode="External"/><Relationship Id="rId3496" Type="http://schemas.openxmlformats.org/officeDocument/2006/relationships/hyperlink" Target="https://en.wikipedia.org/wiki/Nebraska" TargetMode="External"/><Relationship Id="rId2165" Type="http://schemas.openxmlformats.org/officeDocument/2006/relationships/hyperlink" Target="https://en.wikipedia.org/wiki/Morgan_County,_Kentucky" TargetMode="External"/><Relationship Id="rId3495" Type="http://schemas.openxmlformats.org/officeDocument/2006/relationships/hyperlink" Target="https://en.wikipedia.org/wiki/Wheeler_County,_Nebraska" TargetMode="External"/><Relationship Id="rId2166" Type="http://schemas.openxmlformats.org/officeDocument/2006/relationships/hyperlink" Target="https://en.wikipedia.org/wiki/Kentucky" TargetMode="External"/><Relationship Id="rId3498" Type="http://schemas.openxmlformats.org/officeDocument/2006/relationships/hyperlink" Target="https://en.wikipedia.org/wiki/Nevada" TargetMode="External"/><Relationship Id="rId2167" Type="http://schemas.openxmlformats.org/officeDocument/2006/relationships/hyperlink" Target="https://en.wikipedia.org/wiki/Muhlenberg_County,_Kentucky" TargetMode="External"/><Relationship Id="rId3497" Type="http://schemas.openxmlformats.org/officeDocument/2006/relationships/hyperlink" Target="https://en.wikipedia.org/wiki/York_County,_Nebraska" TargetMode="External"/><Relationship Id="rId2168" Type="http://schemas.openxmlformats.org/officeDocument/2006/relationships/hyperlink" Target="https://en.wikipedia.org/wiki/Kentucky" TargetMode="External"/><Relationship Id="rId2169" Type="http://schemas.openxmlformats.org/officeDocument/2006/relationships/hyperlink" Target="https://en.wikipedia.org/wiki/Nelson_County,_Kentucky" TargetMode="External"/><Relationship Id="rId3499" Type="http://schemas.openxmlformats.org/officeDocument/2006/relationships/hyperlink" Target="https://en.wikipedia.org/wiki/Churchill_County,_Nevada" TargetMode="External"/><Relationship Id="rId2159" Type="http://schemas.openxmlformats.org/officeDocument/2006/relationships/hyperlink" Target="https://en.wikipedia.org/wiki/Metcalfe_County,_Kentucky" TargetMode="External"/><Relationship Id="rId3481" Type="http://schemas.openxmlformats.org/officeDocument/2006/relationships/hyperlink" Target="https://en.wikipedia.org/wiki/Thayer_County,_Nebraska" TargetMode="External"/><Relationship Id="rId2150" Type="http://schemas.openxmlformats.org/officeDocument/2006/relationships/hyperlink" Target="https://en.wikipedia.org/wiki/Kentucky" TargetMode="External"/><Relationship Id="rId3480" Type="http://schemas.openxmlformats.org/officeDocument/2006/relationships/hyperlink" Target="https://en.wikipedia.org/wiki/Nebraska" TargetMode="External"/><Relationship Id="rId2151" Type="http://schemas.openxmlformats.org/officeDocument/2006/relationships/hyperlink" Target="https://en.wikipedia.org/wiki/Mason_County,_Kentucky" TargetMode="External"/><Relationship Id="rId3483" Type="http://schemas.openxmlformats.org/officeDocument/2006/relationships/hyperlink" Target="https://en.wikipedia.org/wiki/Thomas_County,_Nebraska" TargetMode="External"/><Relationship Id="rId2152" Type="http://schemas.openxmlformats.org/officeDocument/2006/relationships/hyperlink" Target="https://en.wikipedia.org/wiki/Kentucky" TargetMode="External"/><Relationship Id="rId3482" Type="http://schemas.openxmlformats.org/officeDocument/2006/relationships/hyperlink" Target="https://en.wikipedia.org/wiki/Nebraska" TargetMode="External"/><Relationship Id="rId2153" Type="http://schemas.openxmlformats.org/officeDocument/2006/relationships/hyperlink" Target="https://en.wikipedia.org/wiki/Meade_County,_Kentucky" TargetMode="External"/><Relationship Id="rId3485" Type="http://schemas.openxmlformats.org/officeDocument/2006/relationships/hyperlink" Target="https://en.wikipedia.org/wiki/Thurston_County,_Nebraska" TargetMode="External"/><Relationship Id="rId2154" Type="http://schemas.openxmlformats.org/officeDocument/2006/relationships/hyperlink" Target="https://en.wikipedia.org/wiki/Kentucky" TargetMode="External"/><Relationship Id="rId3484" Type="http://schemas.openxmlformats.org/officeDocument/2006/relationships/hyperlink" Target="https://en.wikipedia.org/wiki/Nebraska" TargetMode="External"/><Relationship Id="rId2155" Type="http://schemas.openxmlformats.org/officeDocument/2006/relationships/hyperlink" Target="https://en.wikipedia.org/wiki/Menifee_County,_Kentucky" TargetMode="External"/><Relationship Id="rId3487" Type="http://schemas.openxmlformats.org/officeDocument/2006/relationships/hyperlink" Target="https://en.wikipedia.org/wiki/Valley_County,_Nebraska" TargetMode="External"/><Relationship Id="rId2156" Type="http://schemas.openxmlformats.org/officeDocument/2006/relationships/hyperlink" Target="https://en.wikipedia.org/wiki/Kentucky" TargetMode="External"/><Relationship Id="rId3486" Type="http://schemas.openxmlformats.org/officeDocument/2006/relationships/hyperlink" Target="https://en.wikipedia.org/wiki/Nebraska" TargetMode="External"/><Relationship Id="rId2157" Type="http://schemas.openxmlformats.org/officeDocument/2006/relationships/hyperlink" Target="https://en.wikipedia.org/wiki/Mercer_County,_Kentucky" TargetMode="External"/><Relationship Id="rId3489" Type="http://schemas.openxmlformats.org/officeDocument/2006/relationships/hyperlink" Target="https://en.wikipedia.org/wiki/Washington_County,_Nebraska" TargetMode="External"/><Relationship Id="rId2158" Type="http://schemas.openxmlformats.org/officeDocument/2006/relationships/hyperlink" Target="https://en.wikipedia.org/wiki/Kentucky" TargetMode="External"/><Relationship Id="rId3488" Type="http://schemas.openxmlformats.org/officeDocument/2006/relationships/hyperlink" Target="https://en.wikipedia.org/wiki/Nebraska" TargetMode="External"/><Relationship Id="rId2104" Type="http://schemas.openxmlformats.org/officeDocument/2006/relationships/hyperlink" Target="https://en.wikipedia.org/wiki/Kentucky" TargetMode="External"/><Relationship Id="rId3436" Type="http://schemas.openxmlformats.org/officeDocument/2006/relationships/hyperlink" Target="https://en.wikipedia.org/wiki/Nebraska" TargetMode="External"/><Relationship Id="rId4767" Type="http://schemas.openxmlformats.org/officeDocument/2006/relationships/hyperlink" Target="https://en.wikipedia.org/wiki/Dewey_County,_South_Dakota" TargetMode="External"/><Relationship Id="rId2105" Type="http://schemas.openxmlformats.org/officeDocument/2006/relationships/hyperlink" Target="https://en.wikipedia.org/wiki/Johnson_County,_Kentucky" TargetMode="External"/><Relationship Id="rId3435" Type="http://schemas.openxmlformats.org/officeDocument/2006/relationships/hyperlink" Target="https://en.wikipedia.org/wiki/Morrill_County,_Nebraska" TargetMode="External"/><Relationship Id="rId4766" Type="http://schemas.openxmlformats.org/officeDocument/2006/relationships/hyperlink" Target="https://en.wikipedia.org/wiki/South_Dakota" TargetMode="External"/><Relationship Id="rId2106" Type="http://schemas.openxmlformats.org/officeDocument/2006/relationships/hyperlink" Target="https://en.wikipedia.org/wiki/Kentucky" TargetMode="External"/><Relationship Id="rId3438" Type="http://schemas.openxmlformats.org/officeDocument/2006/relationships/hyperlink" Target="https://en.wikipedia.org/wiki/Nebraska" TargetMode="External"/><Relationship Id="rId4769" Type="http://schemas.openxmlformats.org/officeDocument/2006/relationships/hyperlink" Target="https://en.wikipedia.org/wiki/Douglas_County,_South_Dakota" TargetMode="External"/><Relationship Id="rId2107" Type="http://schemas.openxmlformats.org/officeDocument/2006/relationships/hyperlink" Target="https://en.wikipedia.org/wiki/Kenton_County,_Kentucky" TargetMode="External"/><Relationship Id="rId3437" Type="http://schemas.openxmlformats.org/officeDocument/2006/relationships/hyperlink" Target="https://en.wikipedia.org/wiki/Nance_County,_Nebraska" TargetMode="External"/><Relationship Id="rId4768" Type="http://schemas.openxmlformats.org/officeDocument/2006/relationships/hyperlink" Target="https://en.wikipedia.org/wiki/South_Dakota" TargetMode="External"/><Relationship Id="rId2108" Type="http://schemas.openxmlformats.org/officeDocument/2006/relationships/hyperlink" Target="https://en.wikipedia.org/wiki/Kentucky" TargetMode="External"/><Relationship Id="rId2109" Type="http://schemas.openxmlformats.org/officeDocument/2006/relationships/hyperlink" Target="https://en.wikipedia.org/wiki/Knott_County,_Kentucky" TargetMode="External"/><Relationship Id="rId3439" Type="http://schemas.openxmlformats.org/officeDocument/2006/relationships/hyperlink" Target="https://en.wikipedia.org/wiki/Nemaha_County,_Nebraska" TargetMode="External"/><Relationship Id="rId3430" Type="http://schemas.openxmlformats.org/officeDocument/2006/relationships/hyperlink" Target="https://en.wikipedia.org/wiki/Nebraska" TargetMode="External"/><Relationship Id="rId4761" Type="http://schemas.openxmlformats.org/officeDocument/2006/relationships/hyperlink" Target="https://en.wikipedia.org/wiki/Davison_County,_South_Dakota" TargetMode="External"/><Relationship Id="rId4760" Type="http://schemas.openxmlformats.org/officeDocument/2006/relationships/hyperlink" Target="https://en.wikipedia.org/wiki/South_Dakota" TargetMode="External"/><Relationship Id="rId2100" Type="http://schemas.openxmlformats.org/officeDocument/2006/relationships/hyperlink" Target="https://en.wikipedia.org/wiki/Kentucky" TargetMode="External"/><Relationship Id="rId3432" Type="http://schemas.openxmlformats.org/officeDocument/2006/relationships/hyperlink" Target="https://en.wikipedia.org/wiki/Nebraska" TargetMode="External"/><Relationship Id="rId4763" Type="http://schemas.openxmlformats.org/officeDocument/2006/relationships/hyperlink" Target="https://en.wikipedia.org/wiki/Day_County,_South_Dakota" TargetMode="External"/><Relationship Id="rId2101" Type="http://schemas.openxmlformats.org/officeDocument/2006/relationships/hyperlink" Target="https://en.wikipedia.org/wiki/Jefferson_County,_Kentucky" TargetMode="External"/><Relationship Id="rId3431" Type="http://schemas.openxmlformats.org/officeDocument/2006/relationships/hyperlink" Target="https://en.wikipedia.org/wiki/Madison_County,_Nebraska" TargetMode="External"/><Relationship Id="rId4762" Type="http://schemas.openxmlformats.org/officeDocument/2006/relationships/hyperlink" Target="https://en.wikipedia.org/wiki/South_Dakota" TargetMode="External"/><Relationship Id="rId2102" Type="http://schemas.openxmlformats.org/officeDocument/2006/relationships/hyperlink" Target="https://en.wikipedia.org/wiki/Kentucky" TargetMode="External"/><Relationship Id="rId3434" Type="http://schemas.openxmlformats.org/officeDocument/2006/relationships/hyperlink" Target="https://en.wikipedia.org/wiki/Nebraska" TargetMode="External"/><Relationship Id="rId4765" Type="http://schemas.openxmlformats.org/officeDocument/2006/relationships/hyperlink" Target="https://en.wikipedia.org/wiki/Deuel_County,_South_Dakota" TargetMode="External"/><Relationship Id="rId2103" Type="http://schemas.openxmlformats.org/officeDocument/2006/relationships/hyperlink" Target="https://en.wikipedia.org/wiki/Jessamine_County,_Kentucky" TargetMode="External"/><Relationship Id="rId3433" Type="http://schemas.openxmlformats.org/officeDocument/2006/relationships/hyperlink" Target="https://en.wikipedia.org/wiki/Merrick_County,_Nebraska" TargetMode="External"/><Relationship Id="rId4764" Type="http://schemas.openxmlformats.org/officeDocument/2006/relationships/hyperlink" Target="https://en.wikipedia.org/wiki/South_Dakota" TargetMode="External"/><Relationship Id="rId3425" Type="http://schemas.openxmlformats.org/officeDocument/2006/relationships/hyperlink" Target="https://en.wikipedia.org/wiki/Logan_County,_Nebraska" TargetMode="External"/><Relationship Id="rId4756" Type="http://schemas.openxmlformats.org/officeDocument/2006/relationships/hyperlink" Target="https://en.wikipedia.org/wiki/South_Dakota" TargetMode="External"/><Relationship Id="rId3424" Type="http://schemas.openxmlformats.org/officeDocument/2006/relationships/hyperlink" Target="https://en.wikipedia.org/wiki/Nebraska" TargetMode="External"/><Relationship Id="rId4755" Type="http://schemas.openxmlformats.org/officeDocument/2006/relationships/hyperlink" Target="https://en.wikipedia.org/wiki/Codington_County,_South_Dakota" TargetMode="External"/><Relationship Id="rId3427" Type="http://schemas.openxmlformats.org/officeDocument/2006/relationships/hyperlink" Target="https://en.wikipedia.org/wiki/Loup_County,_Nebraska" TargetMode="External"/><Relationship Id="rId4758" Type="http://schemas.openxmlformats.org/officeDocument/2006/relationships/hyperlink" Target="https://en.wikipedia.org/wiki/South_Dakota" TargetMode="External"/><Relationship Id="rId3426" Type="http://schemas.openxmlformats.org/officeDocument/2006/relationships/hyperlink" Target="https://en.wikipedia.org/wiki/Nebraska" TargetMode="External"/><Relationship Id="rId4757" Type="http://schemas.openxmlformats.org/officeDocument/2006/relationships/hyperlink" Target="https://en.wikipedia.org/wiki/Corson_County,_South_Dakota" TargetMode="External"/><Relationship Id="rId3429" Type="http://schemas.openxmlformats.org/officeDocument/2006/relationships/hyperlink" Target="https://en.wikipedia.org/wiki/McPherson_County,_Nebraska" TargetMode="External"/><Relationship Id="rId3428" Type="http://schemas.openxmlformats.org/officeDocument/2006/relationships/hyperlink" Target="https://en.wikipedia.org/wiki/Nebraska" TargetMode="External"/><Relationship Id="rId4759" Type="http://schemas.openxmlformats.org/officeDocument/2006/relationships/hyperlink" Target="https://en.wikipedia.org/wiki/Custer_County,_South_Dakota" TargetMode="External"/><Relationship Id="rId4750" Type="http://schemas.openxmlformats.org/officeDocument/2006/relationships/hyperlink" Target="https://en.wikipedia.org/wiki/South_Dakota" TargetMode="External"/><Relationship Id="rId3421" Type="http://schemas.openxmlformats.org/officeDocument/2006/relationships/hyperlink" Target="https://en.wikipedia.org/wiki/Lancaster_County,_Nebraska" TargetMode="External"/><Relationship Id="rId4752" Type="http://schemas.openxmlformats.org/officeDocument/2006/relationships/hyperlink" Target="https://en.wikipedia.org/wiki/South_Dakota" TargetMode="External"/><Relationship Id="rId3420" Type="http://schemas.openxmlformats.org/officeDocument/2006/relationships/hyperlink" Target="https://en.wikipedia.org/wiki/Nebraska" TargetMode="External"/><Relationship Id="rId4751" Type="http://schemas.openxmlformats.org/officeDocument/2006/relationships/hyperlink" Target="https://en.wikipedia.org/wiki/Clark_County,_South_Dakota" TargetMode="External"/><Relationship Id="rId3423" Type="http://schemas.openxmlformats.org/officeDocument/2006/relationships/hyperlink" Target="https://en.wikipedia.org/wiki/Lincoln_County,_Nebraska" TargetMode="External"/><Relationship Id="rId4754" Type="http://schemas.openxmlformats.org/officeDocument/2006/relationships/hyperlink" Target="https://en.wikipedia.org/wiki/South_Dakota" TargetMode="External"/><Relationship Id="rId3422" Type="http://schemas.openxmlformats.org/officeDocument/2006/relationships/hyperlink" Target="https://en.wikipedia.org/wiki/Nebraska" TargetMode="External"/><Relationship Id="rId4753" Type="http://schemas.openxmlformats.org/officeDocument/2006/relationships/hyperlink" Target="https://en.wikipedia.org/wiki/Clay_County,_South_Dakota" TargetMode="External"/><Relationship Id="rId2126" Type="http://schemas.openxmlformats.org/officeDocument/2006/relationships/hyperlink" Target="https://en.wikipedia.org/wiki/Kentucky" TargetMode="External"/><Relationship Id="rId3458" Type="http://schemas.openxmlformats.org/officeDocument/2006/relationships/hyperlink" Target="https://en.wikipedia.org/wiki/Nebraska" TargetMode="External"/><Relationship Id="rId4789" Type="http://schemas.openxmlformats.org/officeDocument/2006/relationships/hyperlink" Target="https://en.wikipedia.org/wiki/Harding_County,_South_Dakota" TargetMode="External"/><Relationship Id="rId2127" Type="http://schemas.openxmlformats.org/officeDocument/2006/relationships/hyperlink" Target="https://en.wikipedia.org/wiki/Lincoln_County,_Kentucky" TargetMode="External"/><Relationship Id="rId3457" Type="http://schemas.openxmlformats.org/officeDocument/2006/relationships/hyperlink" Target="https://en.wikipedia.org/wiki/Red_Willow_County,_Nebraska" TargetMode="External"/><Relationship Id="rId4788" Type="http://schemas.openxmlformats.org/officeDocument/2006/relationships/hyperlink" Target="https://en.wikipedia.org/wiki/South_Dakota" TargetMode="External"/><Relationship Id="rId2128" Type="http://schemas.openxmlformats.org/officeDocument/2006/relationships/hyperlink" Target="https://en.wikipedia.org/wiki/Kentucky" TargetMode="External"/><Relationship Id="rId2129" Type="http://schemas.openxmlformats.org/officeDocument/2006/relationships/hyperlink" Target="https://en.wikipedia.org/wiki/Livingston_County,_Kentucky" TargetMode="External"/><Relationship Id="rId3459" Type="http://schemas.openxmlformats.org/officeDocument/2006/relationships/hyperlink" Target="https://en.wikipedia.org/wiki/Richardson_County,_Nebraska" TargetMode="External"/><Relationship Id="rId3450" Type="http://schemas.openxmlformats.org/officeDocument/2006/relationships/hyperlink" Target="https://en.wikipedia.org/wiki/Nebraska" TargetMode="External"/><Relationship Id="rId4781" Type="http://schemas.openxmlformats.org/officeDocument/2006/relationships/hyperlink" Target="https://en.wikipedia.org/wiki/Haakon_County,_South_Dakota" TargetMode="External"/><Relationship Id="rId4780" Type="http://schemas.openxmlformats.org/officeDocument/2006/relationships/hyperlink" Target="https://en.wikipedia.org/wiki/South_Dakota" TargetMode="External"/><Relationship Id="rId2120" Type="http://schemas.openxmlformats.org/officeDocument/2006/relationships/hyperlink" Target="https://en.wikipedia.org/wiki/Kentucky" TargetMode="External"/><Relationship Id="rId3452" Type="http://schemas.openxmlformats.org/officeDocument/2006/relationships/hyperlink" Target="https://en.wikipedia.org/wiki/Nebraska" TargetMode="External"/><Relationship Id="rId4783" Type="http://schemas.openxmlformats.org/officeDocument/2006/relationships/hyperlink" Target="https://en.wikipedia.org/wiki/Hamlin_County,_South_Dakota" TargetMode="External"/><Relationship Id="rId2121" Type="http://schemas.openxmlformats.org/officeDocument/2006/relationships/hyperlink" Target="https://en.wikipedia.org/wiki/Leslie_County,_Kentucky" TargetMode="External"/><Relationship Id="rId3451" Type="http://schemas.openxmlformats.org/officeDocument/2006/relationships/hyperlink" Target="https://en.wikipedia.org/wiki/Pierce_County,_Nebraska" TargetMode="External"/><Relationship Id="rId4782" Type="http://schemas.openxmlformats.org/officeDocument/2006/relationships/hyperlink" Target="https://en.wikipedia.org/wiki/South_Dakota" TargetMode="External"/><Relationship Id="rId2122" Type="http://schemas.openxmlformats.org/officeDocument/2006/relationships/hyperlink" Target="https://en.wikipedia.org/wiki/Kentucky" TargetMode="External"/><Relationship Id="rId3454" Type="http://schemas.openxmlformats.org/officeDocument/2006/relationships/hyperlink" Target="https://en.wikipedia.org/wiki/Nebraska" TargetMode="External"/><Relationship Id="rId4785" Type="http://schemas.openxmlformats.org/officeDocument/2006/relationships/hyperlink" Target="https://en.wikipedia.org/wiki/Hand_County,_South_Dakota" TargetMode="External"/><Relationship Id="rId2123" Type="http://schemas.openxmlformats.org/officeDocument/2006/relationships/hyperlink" Target="https://en.wikipedia.org/wiki/Letcher_County,_Kentucky" TargetMode="External"/><Relationship Id="rId3453" Type="http://schemas.openxmlformats.org/officeDocument/2006/relationships/hyperlink" Target="https://en.wikipedia.org/wiki/Platte_County,_Nebraska" TargetMode="External"/><Relationship Id="rId4784" Type="http://schemas.openxmlformats.org/officeDocument/2006/relationships/hyperlink" Target="https://en.wikipedia.org/wiki/South_Dakota" TargetMode="External"/><Relationship Id="rId2124" Type="http://schemas.openxmlformats.org/officeDocument/2006/relationships/hyperlink" Target="https://en.wikipedia.org/wiki/Kentucky" TargetMode="External"/><Relationship Id="rId3456" Type="http://schemas.openxmlformats.org/officeDocument/2006/relationships/hyperlink" Target="https://en.wikipedia.org/wiki/Nebraska" TargetMode="External"/><Relationship Id="rId4787" Type="http://schemas.openxmlformats.org/officeDocument/2006/relationships/hyperlink" Target="https://en.wikipedia.org/wiki/Hanson_County,_South_Dakota" TargetMode="External"/><Relationship Id="rId2125" Type="http://schemas.openxmlformats.org/officeDocument/2006/relationships/hyperlink" Target="https://en.wikipedia.org/wiki/Lewis_County,_Kentucky" TargetMode="External"/><Relationship Id="rId3455" Type="http://schemas.openxmlformats.org/officeDocument/2006/relationships/hyperlink" Target="https://en.wikipedia.org/wiki/Polk_County,_Nebraska" TargetMode="External"/><Relationship Id="rId4786" Type="http://schemas.openxmlformats.org/officeDocument/2006/relationships/hyperlink" Target="https://en.wikipedia.org/wiki/South_Dakota" TargetMode="External"/><Relationship Id="rId2115" Type="http://schemas.openxmlformats.org/officeDocument/2006/relationships/hyperlink" Target="https://en.wikipedia.org/wiki/Laurel_County,_Kentucky" TargetMode="External"/><Relationship Id="rId3447" Type="http://schemas.openxmlformats.org/officeDocument/2006/relationships/hyperlink" Target="https://en.wikipedia.org/wiki/Perkins_County,_Nebraska" TargetMode="External"/><Relationship Id="rId4778" Type="http://schemas.openxmlformats.org/officeDocument/2006/relationships/hyperlink" Target="https://en.wikipedia.org/wiki/South_Dakota" TargetMode="External"/><Relationship Id="rId2116" Type="http://schemas.openxmlformats.org/officeDocument/2006/relationships/hyperlink" Target="https://en.wikipedia.org/wiki/Kentucky" TargetMode="External"/><Relationship Id="rId3446" Type="http://schemas.openxmlformats.org/officeDocument/2006/relationships/hyperlink" Target="https://en.wikipedia.org/wiki/Nebraska" TargetMode="External"/><Relationship Id="rId4777" Type="http://schemas.openxmlformats.org/officeDocument/2006/relationships/hyperlink" Target="https://en.wikipedia.org/wiki/Grant_County,_South_Dakota" TargetMode="External"/><Relationship Id="rId2117" Type="http://schemas.openxmlformats.org/officeDocument/2006/relationships/hyperlink" Target="https://en.wikipedia.org/wiki/Lawrence_County,_Kentucky" TargetMode="External"/><Relationship Id="rId3449" Type="http://schemas.openxmlformats.org/officeDocument/2006/relationships/hyperlink" Target="https://en.wikipedia.org/wiki/Phelps_County,_Nebraska" TargetMode="External"/><Relationship Id="rId2118" Type="http://schemas.openxmlformats.org/officeDocument/2006/relationships/hyperlink" Target="https://en.wikipedia.org/wiki/Kentucky" TargetMode="External"/><Relationship Id="rId3448" Type="http://schemas.openxmlformats.org/officeDocument/2006/relationships/hyperlink" Target="https://en.wikipedia.org/wiki/Nebraska" TargetMode="External"/><Relationship Id="rId4779" Type="http://schemas.openxmlformats.org/officeDocument/2006/relationships/hyperlink" Target="https://en.wikipedia.org/wiki/Gregory_County,_South_Dakota" TargetMode="External"/><Relationship Id="rId2119" Type="http://schemas.openxmlformats.org/officeDocument/2006/relationships/hyperlink" Target="https://en.wikipedia.org/wiki/Lee_County,_Kentucky" TargetMode="External"/><Relationship Id="rId4770" Type="http://schemas.openxmlformats.org/officeDocument/2006/relationships/hyperlink" Target="https://en.wikipedia.org/wiki/South_Dakota" TargetMode="External"/><Relationship Id="rId3441" Type="http://schemas.openxmlformats.org/officeDocument/2006/relationships/hyperlink" Target="https://en.wikipedia.org/wiki/Nuckolls_County,_Nebraska" TargetMode="External"/><Relationship Id="rId4772" Type="http://schemas.openxmlformats.org/officeDocument/2006/relationships/hyperlink" Target="https://en.wikipedia.org/wiki/South_Dakota" TargetMode="External"/><Relationship Id="rId2110" Type="http://schemas.openxmlformats.org/officeDocument/2006/relationships/hyperlink" Target="https://en.wikipedia.org/wiki/Kentucky" TargetMode="External"/><Relationship Id="rId3440" Type="http://schemas.openxmlformats.org/officeDocument/2006/relationships/hyperlink" Target="https://en.wikipedia.org/wiki/Nebraska" TargetMode="External"/><Relationship Id="rId4771" Type="http://schemas.openxmlformats.org/officeDocument/2006/relationships/hyperlink" Target="https://en.wikipedia.org/wiki/Edmunds_County,_South_Dakota" TargetMode="External"/><Relationship Id="rId2111" Type="http://schemas.openxmlformats.org/officeDocument/2006/relationships/hyperlink" Target="https://en.wikipedia.org/wiki/Knox_County,_Kentucky" TargetMode="External"/><Relationship Id="rId3443" Type="http://schemas.openxmlformats.org/officeDocument/2006/relationships/hyperlink" Target="https://en.wikipedia.org/wiki/Otoe_County,_Nebraska" TargetMode="External"/><Relationship Id="rId4774" Type="http://schemas.openxmlformats.org/officeDocument/2006/relationships/hyperlink" Target="https://en.wikipedia.org/wiki/South_Dakota" TargetMode="External"/><Relationship Id="rId2112" Type="http://schemas.openxmlformats.org/officeDocument/2006/relationships/hyperlink" Target="https://en.wikipedia.org/wiki/Kentucky" TargetMode="External"/><Relationship Id="rId3442" Type="http://schemas.openxmlformats.org/officeDocument/2006/relationships/hyperlink" Target="https://en.wikipedia.org/wiki/Nebraska" TargetMode="External"/><Relationship Id="rId4773" Type="http://schemas.openxmlformats.org/officeDocument/2006/relationships/hyperlink" Target="https://en.wikipedia.org/wiki/Fall_River_County,_South_Dakota" TargetMode="External"/><Relationship Id="rId2113" Type="http://schemas.openxmlformats.org/officeDocument/2006/relationships/hyperlink" Target="https://en.wikipedia.org/wiki/Larue_County,_Kentucky" TargetMode="External"/><Relationship Id="rId3445" Type="http://schemas.openxmlformats.org/officeDocument/2006/relationships/hyperlink" Target="https://en.wikipedia.org/wiki/Pawnee_County,_Nebraska" TargetMode="External"/><Relationship Id="rId4776" Type="http://schemas.openxmlformats.org/officeDocument/2006/relationships/hyperlink" Target="https://en.wikipedia.org/wiki/South_Dakota" TargetMode="External"/><Relationship Id="rId2114" Type="http://schemas.openxmlformats.org/officeDocument/2006/relationships/hyperlink" Target="https://en.wikipedia.org/wiki/Kentucky" TargetMode="External"/><Relationship Id="rId3444" Type="http://schemas.openxmlformats.org/officeDocument/2006/relationships/hyperlink" Target="https://en.wikipedia.org/wiki/Nebraska" TargetMode="External"/><Relationship Id="rId4775" Type="http://schemas.openxmlformats.org/officeDocument/2006/relationships/hyperlink" Target="https://en.wikipedia.org/wiki/Faulk_County,_South_Dakota" TargetMode="External"/><Relationship Id="rId5251" Type="http://schemas.openxmlformats.org/officeDocument/2006/relationships/hyperlink" Target="https://en.wikipedia.org/wiki/Harris_County,_Texas" TargetMode="External"/><Relationship Id="rId5252" Type="http://schemas.openxmlformats.org/officeDocument/2006/relationships/hyperlink" Target="https://en.wikipedia.org/wiki/Texas" TargetMode="External"/><Relationship Id="rId5250" Type="http://schemas.openxmlformats.org/officeDocument/2006/relationships/hyperlink" Target="https://en.wikipedia.org/wiki/Texas" TargetMode="External"/><Relationship Id="rId5255" Type="http://schemas.openxmlformats.org/officeDocument/2006/relationships/hyperlink" Target="https://en.wikipedia.org/wiki/Hartley_County,_Texas" TargetMode="External"/><Relationship Id="rId5256" Type="http://schemas.openxmlformats.org/officeDocument/2006/relationships/hyperlink" Target="https://en.wikipedia.org/wiki/Texas" TargetMode="External"/><Relationship Id="rId5253" Type="http://schemas.openxmlformats.org/officeDocument/2006/relationships/hyperlink" Target="https://en.wikipedia.org/wiki/Harrison_County,_Texas" TargetMode="External"/><Relationship Id="rId5254" Type="http://schemas.openxmlformats.org/officeDocument/2006/relationships/hyperlink" Target="https://en.wikipedia.org/wiki/Texas" TargetMode="External"/><Relationship Id="rId5259" Type="http://schemas.openxmlformats.org/officeDocument/2006/relationships/hyperlink" Target="https://en.wikipedia.org/wiki/Hays_County,_Texas" TargetMode="External"/><Relationship Id="rId5257" Type="http://schemas.openxmlformats.org/officeDocument/2006/relationships/hyperlink" Target="https://en.wikipedia.org/wiki/Haskell_County,_Texas" TargetMode="External"/><Relationship Id="rId5258" Type="http://schemas.openxmlformats.org/officeDocument/2006/relationships/hyperlink" Target="https://en.wikipedia.org/wiki/Texas" TargetMode="External"/><Relationship Id="rId5240" Type="http://schemas.openxmlformats.org/officeDocument/2006/relationships/hyperlink" Target="https://en.wikipedia.org/wiki/Texas" TargetMode="External"/><Relationship Id="rId5241" Type="http://schemas.openxmlformats.org/officeDocument/2006/relationships/hyperlink" Target="https://en.wikipedia.org/wiki/Hall_County,_Texas" TargetMode="External"/><Relationship Id="rId5244" Type="http://schemas.openxmlformats.org/officeDocument/2006/relationships/hyperlink" Target="https://en.wikipedia.org/wiki/Texas" TargetMode="External"/><Relationship Id="rId5245" Type="http://schemas.openxmlformats.org/officeDocument/2006/relationships/hyperlink" Target="https://en.wikipedia.org/wiki/Hansford_County,_Texas" TargetMode="External"/><Relationship Id="rId5242" Type="http://schemas.openxmlformats.org/officeDocument/2006/relationships/hyperlink" Target="https://en.wikipedia.org/wiki/Texas" TargetMode="External"/><Relationship Id="rId5243" Type="http://schemas.openxmlformats.org/officeDocument/2006/relationships/hyperlink" Target="https://en.wikipedia.org/wiki/Hamilton_County,_Texas" TargetMode="External"/><Relationship Id="rId5248" Type="http://schemas.openxmlformats.org/officeDocument/2006/relationships/hyperlink" Target="https://en.wikipedia.org/wiki/Texas" TargetMode="External"/><Relationship Id="rId5249" Type="http://schemas.openxmlformats.org/officeDocument/2006/relationships/hyperlink" Target="https://en.wikipedia.org/wiki/Hardin_County,_Texas" TargetMode="External"/><Relationship Id="rId5246" Type="http://schemas.openxmlformats.org/officeDocument/2006/relationships/hyperlink" Target="https://en.wikipedia.org/wiki/Texas" TargetMode="External"/><Relationship Id="rId5247" Type="http://schemas.openxmlformats.org/officeDocument/2006/relationships/hyperlink" Target="https://en.wikipedia.org/wiki/Hardeman_County,_Texas" TargetMode="External"/><Relationship Id="rId5270" Type="http://schemas.openxmlformats.org/officeDocument/2006/relationships/hyperlink" Target="https://en.wikipedia.org/wiki/Texas" TargetMode="External"/><Relationship Id="rId5273" Type="http://schemas.openxmlformats.org/officeDocument/2006/relationships/hyperlink" Target="https://en.wikipedia.org/wiki/Hopkins_County,_Texas" TargetMode="External"/><Relationship Id="rId5274" Type="http://schemas.openxmlformats.org/officeDocument/2006/relationships/hyperlink" Target="https://en.wikipedia.org/wiki/Texas" TargetMode="External"/><Relationship Id="rId5271" Type="http://schemas.openxmlformats.org/officeDocument/2006/relationships/hyperlink" Target="https://en.wikipedia.org/wiki/Hood_County,_Texas" TargetMode="External"/><Relationship Id="rId5272" Type="http://schemas.openxmlformats.org/officeDocument/2006/relationships/hyperlink" Target="https://en.wikipedia.org/wiki/Texas" TargetMode="External"/><Relationship Id="rId5277" Type="http://schemas.openxmlformats.org/officeDocument/2006/relationships/hyperlink" Target="https://en.wikipedia.org/wiki/Howard_County,_Texas" TargetMode="External"/><Relationship Id="rId5278" Type="http://schemas.openxmlformats.org/officeDocument/2006/relationships/hyperlink" Target="https://en.wikipedia.org/wiki/Texas" TargetMode="External"/><Relationship Id="rId5275" Type="http://schemas.openxmlformats.org/officeDocument/2006/relationships/hyperlink" Target="https://en.wikipedia.org/wiki/Houston_County,_Texas" TargetMode="External"/><Relationship Id="rId5276" Type="http://schemas.openxmlformats.org/officeDocument/2006/relationships/hyperlink" Target="https://en.wikipedia.org/wiki/Texas" TargetMode="External"/><Relationship Id="rId5279" Type="http://schemas.openxmlformats.org/officeDocument/2006/relationships/hyperlink" Target="https://en.wikipedia.org/wiki/Hudspeth_County,_Texas" TargetMode="External"/><Relationship Id="rId5262" Type="http://schemas.openxmlformats.org/officeDocument/2006/relationships/hyperlink" Target="https://en.wikipedia.org/wiki/Texas" TargetMode="External"/><Relationship Id="rId5263" Type="http://schemas.openxmlformats.org/officeDocument/2006/relationships/hyperlink" Target="https://en.wikipedia.org/wiki/Henderson_County,_Texas" TargetMode="External"/><Relationship Id="rId5260" Type="http://schemas.openxmlformats.org/officeDocument/2006/relationships/hyperlink" Target="https://en.wikipedia.org/wiki/Texas" TargetMode="External"/><Relationship Id="rId5261" Type="http://schemas.openxmlformats.org/officeDocument/2006/relationships/hyperlink" Target="https://en.wikipedia.org/wiki/Hemphill_County,_Texas" TargetMode="External"/><Relationship Id="rId5266" Type="http://schemas.openxmlformats.org/officeDocument/2006/relationships/hyperlink" Target="https://en.wikipedia.org/wiki/Texas" TargetMode="External"/><Relationship Id="rId5267" Type="http://schemas.openxmlformats.org/officeDocument/2006/relationships/hyperlink" Target="https://en.wikipedia.org/wiki/Hill_County,_Texas" TargetMode="External"/><Relationship Id="rId5264" Type="http://schemas.openxmlformats.org/officeDocument/2006/relationships/hyperlink" Target="https://en.wikipedia.org/wiki/Texas" TargetMode="External"/><Relationship Id="rId5265" Type="http://schemas.openxmlformats.org/officeDocument/2006/relationships/hyperlink" Target="https://en.wikipedia.org/wiki/Hidalgo_County,_Texas" TargetMode="External"/><Relationship Id="rId5268" Type="http://schemas.openxmlformats.org/officeDocument/2006/relationships/hyperlink" Target="https://en.wikipedia.org/wiki/Texas" TargetMode="External"/><Relationship Id="rId5269" Type="http://schemas.openxmlformats.org/officeDocument/2006/relationships/hyperlink" Target="https://en.wikipedia.org/wiki/Hockley_County,_Texas" TargetMode="External"/><Relationship Id="rId5219" Type="http://schemas.openxmlformats.org/officeDocument/2006/relationships/hyperlink" Target="https://en.wikipedia.org/wiki/Garza_County,_Texas" TargetMode="External"/><Relationship Id="rId5217" Type="http://schemas.openxmlformats.org/officeDocument/2006/relationships/hyperlink" Target="https://en.wikipedia.org/wiki/Galveston_County,_Texas" TargetMode="External"/><Relationship Id="rId5218" Type="http://schemas.openxmlformats.org/officeDocument/2006/relationships/hyperlink" Target="https://en.wikipedia.org/wiki/Texas" TargetMode="External"/><Relationship Id="rId392" Type="http://schemas.openxmlformats.org/officeDocument/2006/relationships/hyperlink" Target="https://en.wikipedia.org/wiki/California" TargetMode="External"/><Relationship Id="rId391" Type="http://schemas.openxmlformats.org/officeDocument/2006/relationships/hyperlink" Target="https://en.wikipedia.org/wiki/Del_Norte_County,_California" TargetMode="External"/><Relationship Id="rId390" Type="http://schemas.openxmlformats.org/officeDocument/2006/relationships/hyperlink" Target="https://en.wikipedia.org/wiki/California" TargetMode="External"/><Relationship Id="rId385" Type="http://schemas.openxmlformats.org/officeDocument/2006/relationships/hyperlink" Target="https://en.wikipedia.org/wiki/Calaveras_County,_California" TargetMode="External"/><Relationship Id="rId5211" Type="http://schemas.openxmlformats.org/officeDocument/2006/relationships/hyperlink" Target="https://en.wikipedia.org/wiki/Freestone_County,_Texas" TargetMode="External"/><Relationship Id="rId384" Type="http://schemas.openxmlformats.org/officeDocument/2006/relationships/hyperlink" Target="https://en.wikipedia.org/wiki/California" TargetMode="External"/><Relationship Id="rId5212" Type="http://schemas.openxmlformats.org/officeDocument/2006/relationships/hyperlink" Target="https://en.wikipedia.org/wiki/Texas" TargetMode="External"/><Relationship Id="rId383" Type="http://schemas.openxmlformats.org/officeDocument/2006/relationships/hyperlink" Target="https://en.wikipedia.org/wiki/Butte_County,_California" TargetMode="External"/><Relationship Id="rId382" Type="http://schemas.openxmlformats.org/officeDocument/2006/relationships/hyperlink" Target="https://en.wikipedia.org/wiki/California" TargetMode="External"/><Relationship Id="rId5210" Type="http://schemas.openxmlformats.org/officeDocument/2006/relationships/hyperlink" Target="https://en.wikipedia.org/wiki/Texas" TargetMode="External"/><Relationship Id="rId389" Type="http://schemas.openxmlformats.org/officeDocument/2006/relationships/hyperlink" Target="https://en.wikipedia.org/wiki/Contra_Costa_County,_California" TargetMode="External"/><Relationship Id="rId5215" Type="http://schemas.openxmlformats.org/officeDocument/2006/relationships/hyperlink" Target="https://en.wikipedia.org/wiki/Gaines_County,_Texas" TargetMode="External"/><Relationship Id="rId388" Type="http://schemas.openxmlformats.org/officeDocument/2006/relationships/hyperlink" Target="https://en.wikipedia.org/wiki/California" TargetMode="External"/><Relationship Id="rId5216" Type="http://schemas.openxmlformats.org/officeDocument/2006/relationships/hyperlink" Target="https://en.wikipedia.org/wiki/Texas" TargetMode="External"/><Relationship Id="rId387" Type="http://schemas.openxmlformats.org/officeDocument/2006/relationships/hyperlink" Target="https://en.wikipedia.org/wiki/Colusa_County,_California" TargetMode="External"/><Relationship Id="rId5213" Type="http://schemas.openxmlformats.org/officeDocument/2006/relationships/hyperlink" Target="https://en.wikipedia.org/wiki/Frio_County,_Texas" TargetMode="External"/><Relationship Id="rId386" Type="http://schemas.openxmlformats.org/officeDocument/2006/relationships/hyperlink" Target="https://en.wikipedia.org/wiki/California" TargetMode="External"/><Relationship Id="rId5214" Type="http://schemas.openxmlformats.org/officeDocument/2006/relationships/hyperlink" Target="https://en.wikipedia.org/wiki/Texas" TargetMode="External"/><Relationship Id="rId5208" Type="http://schemas.openxmlformats.org/officeDocument/2006/relationships/hyperlink" Target="https://en.wikipedia.org/wiki/Texas" TargetMode="External"/><Relationship Id="rId5209" Type="http://schemas.openxmlformats.org/officeDocument/2006/relationships/hyperlink" Target="https://en.wikipedia.org/wiki/Franklin_County,_Texas" TargetMode="External"/><Relationship Id="rId5206" Type="http://schemas.openxmlformats.org/officeDocument/2006/relationships/hyperlink" Target="https://en.wikipedia.org/wiki/Texas" TargetMode="External"/><Relationship Id="rId5207" Type="http://schemas.openxmlformats.org/officeDocument/2006/relationships/hyperlink" Target="https://en.wikipedia.org/wiki/Fort_Bend_County,_Texas" TargetMode="External"/><Relationship Id="rId381" Type="http://schemas.openxmlformats.org/officeDocument/2006/relationships/hyperlink" Target="https://en.wikipedia.org/wiki/Amador_County,_California" TargetMode="External"/><Relationship Id="rId380" Type="http://schemas.openxmlformats.org/officeDocument/2006/relationships/hyperlink" Target="https://en.wikipedia.org/wiki/California" TargetMode="External"/><Relationship Id="rId379" Type="http://schemas.openxmlformats.org/officeDocument/2006/relationships/hyperlink" Target="https://en.wikipedia.org/wiki/Alpine_County,_California" TargetMode="External"/><Relationship Id="rId374" Type="http://schemas.openxmlformats.org/officeDocument/2006/relationships/hyperlink" Target="https://en.wikipedia.org/wiki/Arkansas" TargetMode="External"/><Relationship Id="rId5200" Type="http://schemas.openxmlformats.org/officeDocument/2006/relationships/hyperlink" Target="https://en.wikipedia.org/wiki/Texas" TargetMode="External"/><Relationship Id="rId373" Type="http://schemas.openxmlformats.org/officeDocument/2006/relationships/hyperlink" Target="https://en.wikipedia.org/wiki/Woodruff_County,_Arkansas" TargetMode="External"/><Relationship Id="rId5201" Type="http://schemas.openxmlformats.org/officeDocument/2006/relationships/hyperlink" Target="https://en.wikipedia.org/wiki/Fisher_County,_Texas" TargetMode="External"/><Relationship Id="rId372" Type="http://schemas.openxmlformats.org/officeDocument/2006/relationships/hyperlink" Target="https://en.wikipedia.org/wiki/Arkansas" TargetMode="External"/><Relationship Id="rId371" Type="http://schemas.openxmlformats.org/officeDocument/2006/relationships/hyperlink" Target="https://en.wikipedia.org/wiki/White_County,_Arkansas" TargetMode="External"/><Relationship Id="rId378" Type="http://schemas.openxmlformats.org/officeDocument/2006/relationships/hyperlink" Target="https://en.wikipedia.org/wiki/California" TargetMode="External"/><Relationship Id="rId5204" Type="http://schemas.openxmlformats.org/officeDocument/2006/relationships/hyperlink" Target="https://en.wikipedia.org/wiki/Texas" TargetMode="External"/><Relationship Id="rId377" Type="http://schemas.openxmlformats.org/officeDocument/2006/relationships/hyperlink" Target="https://en.wikipedia.org/wiki/Alameda_County,_California" TargetMode="External"/><Relationship Id="rId5205" Type="http://schemas.openxmlformats.org/officeDocument/2006/relationships/hyperlink" Target="https://en.wikipedia.org/wiki/Foard_County,_Texas" TargetMode="External"/><Relationship Id="rId376" Type="http://schemas.openxmlformats.org/officeDocument/2006/relationships/hyperlink" Target="https://en.wikipedia.org/wiki/California" TargetMode="External"/><Relationship Id="rId5202" Type="http://schemas.openxmlformats.org/officeDocument/2006/relationships/hyperlink" Target="https://en.wikipedia.org/wiki/Texas" TargetMode="External"/><Relationship Id="rId375" Type="http://schemas.openxmlformats.org/officeDocument/2006/relationships/hyperlink" Target="https://en.wikipedia.org/wiki/Yell_County,_Arkansas" TargetMode="External"/><Relationship Id="rId5203" Type="http://schemas.openxmlformats.org/officeDocument/2006/relationships/hyperlink" Target="https://en.wikipedia.org/wiki/Floyd_County,_Texas" TargetMode="External"/><Relationship Id="rId5239" Type="http://schemas.openxmlformats.org/officeDocument/2006/relationships/hyperlink" Target="https://en.wikipedia.org/wiki/Hale_County,_Texas" TargetMode="External"/><Relationship Id="rId5230" Type="http://schemas.openxmlformats.org/officeDocument/2006/relationships/hyperlink" Target="https://en.wikipedia.org/wiki/Texas" TargetMode="External"/><Relationship Id="rId5233" Type="http://schemas.openxmlformats.org/officeDocument/2006/relationships/hyperlink" Target="https://en.wikipedia.org/wiki/Gregg_County,_Texas" TargetMode="External"/><Relationship Id="rId5234" Type="http://schemas.openxmlformats.org/officeDocument/2006/relationships/hyperlink" Target="https://en.wikipedia.org/wiki/Texas" TargetMode="External"/><Relationship Id="rId5231" Type="http://schemas.openxmlformats.org/officeDocument/2006/relationships/hyperlink" Target="https://en.wikipedia.org/wiki/Grayson_County,_Texas" TargetMode="External"/><Relationship Id="rId5232" Type="http://schemas.openxmlformats.org/officeDocument/2006/relationships/hyperlink" Target="https://en.wikipedia.org/wiki/Texas" TargetMode="External"/><Relationship Id="rId5237" Type="http://schemas.openxmlformats.org/officeDocument/2006/relationships/hyperlink" Target="https://en.wikipedia.org/wiki/Guadalupe_County,_Texas" TargetMode="External"/><Relationship Id="rId5238" Type="http://schemas.openxmlformats.org/officeDocument/2006/relationships/hyperlink" Target="https://en.wikipedia.org/wiki/Texas" TargetMode="External"/><Relationship Id="rId5235" Type="http://schemas.openxmlformats.org/officeDocument/2006/relationships/hyperlink" Target="https://en.wikipedia.org/wiki/Grimes_County,_Texas" TargetMode="External"/><Relationship Id="rId5236" Type="http://schemas.openxmlformats.org/officeDocument/2006/relationships/hyperlink" Target="https://en.wikipedia.org/wiki/Texas" TargetMode="External"/><Relationship Id="rId5228" Type="http://schemas.openxmlformats.org/officeDocument/2006/relationships/hyperlink" Target="https://en.wikipedia.org/wiki/Texas" TargetMode="External"/><Relationship Id="rId5229" Type="http://schemas.openxmlformats.org/officeDocument/2006/relationships/hyperlink" Target="https://en.wikipedia.org/wiki/Gray_County,_Texas" TargetMode="External"/><Relationship Id="rId396" Type="http://schemas.openxmlformats.org/officeDocument/2006/relationships/hyperlink" Target="https://en.wikipedia.org/wiki/California" TargetMode="External"/><Relationship Id="rId5222" Type="http://schemas.openxmlformats.org/officeDocument/2006/relationships/hyperlink" Target="https://en.wikipedia.org/wiki/Texas" TargetMode="External"/><Relationship Id="rId395" Type="http://schemas.openxmlformats.org/officeDocument/2006/relationships/hyperlink" Target="https://en.wikipedia.org/wiki/Fresno_County,_California" TargetMode="External"/><Relationship Id="rId5223" Type="http://schemas.openxmlformats.org/officeDocument/2006/relationships/hyperlink" Target="https://en.wikipedia.org/wiki/Glasscock_County,_Texas" TargetMode="External"/><Relationship Id="rId394" Type="http://schemas.openxmlformats.org/officeDocument/2006/relationships/hyperlink" Target="https://en.wikipedia.org/wiki/California" TargetMode="External"/><Relationship Id="rId5220" Type="http://schemas.openxmlformats.org/officeDocument/2006/relationships/hyperlink" Target="https://en.wikipedia.org/wiki/Texas" TargetMode="External"/><Relationship Id="rId393" Type="http://schemas.openxmlformats.org/officeDocument/2006/relationships/hyperlink" Target="https://en.wikipedia.org/wiki/El_Dorado_County,_California" TargetMode="External"/><Relationship Id="rId5221" Type="http://schemas.openxmlformats.org/officeDocument/2006/relationships/hyperlink" Target="https://en.wikipedia.org/wiki/Gillespie_County,_Texas" TargetMode="External"/><Relationship Id="rId5226" Type="http://schemas.openxmlformats.org/officeDocument/2006/relationships/hyperlink" Target="https://en.wikipedia.org/wiki/Texas" TargetMode="External"/><Relationship Id="rId399" Type="http://schemas.openxmlformats.org/officeDocument/2006/relationships/hyperlink" Target="https://en.wikipedia.org/wiki/Humboldt_County,_California" TargetMode="External"/><Relationship Id="rId5227" Type="http://schemas.openxmlformats.org/officeDocument/2006/relationships/hyperlink" Target="https://en.wikipedia.org/wiki/Gonzales_County,_Texas" TargetMode="External"/><Relationship Id="rId398" Type="http://schemas.openxmlformats.org/officeDocument/2006/relationships/hyperlink" Target="https://en.wikipedia.org/wiki/California" TargetMode="External"/><Relationship Id="rId5224" Type="http://schemas.openxmlformats.org/officeDocument/2006/relationships/hyperlink" Target="https://en.wikipedia.org/wiki/Texas" TargetMode="External"/><Relationship Id="rId397" Type="http://schemas.openxmlformats.org/officeDocument/2006/relationships/hyperlink" Target="https://en.wikipedia.org/wiki/Glenn_County,_California" TargetMode="External"/><Relationship Id="rId5225" Type="http://schemas.openxmlformats.org/officeDocument/2006/relationships/hyperlink" Target="https://en.wikipedia.org/wiki/Goliad_County,_Texas" TargetMode="External"/><Relationship Id="rId1730" Type="http://schemas.openxmlformats.org/officeDocument/2006/relationships/hyperlink" Target="https://en.wikipedia.org/wiki/Iowa" TargetMode="External"/><Relationship Id="rId1731" Type="http://schemas.openxmlformats.org/officeDocument/2006/relationships/hyperlink" Target="https://en.wikipedia.org/wiki/Plymouth_County,_Iowa" TargetMode="External"/><Relationship Id="rId1732" Type="http://schemas.openxmlformats.org/officeDocument/2006/relationships/hyperlink" Target="https://en.wikipedia.org/wiki/Iowa" TargetMode="External"/><Relationship Id="rId1733" Type="http://schemas.openxmlformats.org/officeDocument/2006/relationships/hyperlink" Target="https://en.wikipedia.org/wiki/Pocahontas_County,_Iowa" TargetMode="External"/><Relationship Id="rId1734" Type="http://schemas.openxmlformats.org/officeDocument/2006/relationships/hyperlink" Target="https://en.wikipedia.org/wiki/Iowa" TargetMode="External"/><Relationship Id="rId1735" Type="http://schemas.openxmlformats.org/officeDocument/2006/relationships/hyperlink" Target="https://en.wikipedia.org/wiki/Polk_County,_Iowa" TargetMode="External"/><Relationship Id="rId1736" Type="http://schemas.openxmlformats.org/officeDocument/2006/relationships/hyperlink" Target="https://en.wikipedia.org/wiki/Iowa" TargetMode="External"/><Relationship Id="rId1737" Type="http://schemas.openxmlformats.org/officeDocument/2006/relationships/hyperlink" Target="https://en.wikipedia.org/wiki/Pottawattamie_County,_Iowa" TargetMode="External"/><Relationship Id="rId1738" Type="http://schemas.openxmlformats.org/officeDocument/2006/relationships/hyperlink" Target="https://en.wikipedia.org/wiki/Iowa" TargetMode="External"/><Relationship Id="rId1739" Type="http://schemas.openxmlformats.org/officeDocument/2006/relationships/hyperlink" Target="https://en.wikipedia.org/wiki/Poweshiek_County,_Iowa" TargetMode="External"/><Relationship Id="rId1720" Type="http://schemas.openxmlformats.org/officeDocument/2006/relationships/hyperlink" Target="https://en.wikipedia.org/wiki/Iowa" TargetMode="External"/><Relationship Id="rId1721" Type="http://schemas.openxmlformats.org/officeDocument/2006/relationships/hyperlink" Target="https://en.wikipedia.org/wiki/Muscatine_County,_Iowa" TargetMode="External"/><Relationship Id="rId1722" Type="http://schemas.openxmlformats.org/officeDocument/2006/relationships/hyperlink" Target="https://en.wikipedia.org/wiki/Iowa" TargetMode="External"/><Relationship Id="rId1723" Type="http://schemas.openxmlformats.org/officeDocument/2006/relationships/hyperlink" Target="https://en.wikipedia.org/wiki/O%27Brien_County,_Iowa" TargetMode="External"/><Relationship Id="rId1724" Type="http://schemas.openxmlformats.org/officeDocument/2006/relationships/hyperlink" Target="https://en.wikipedia.org/wiki/Iowa" TargetMode="External"/><Relationship Id="rId1725" Type="http://schemas.openxmlformats.org/officeDocument/2006/relationships/hyperlink" Target="https://en.wikipedia.org/wiki/Osceola_County,_Iowa" TargetMode="External"/><Relationship Id="rId1726" Type="http://schemas.openxmlformats.org/officeDocument/2006/relationships/hyperlink" Target="https://en.wikipedia.org/wiki/Iowa" TargetMode="External"/><Relationship Id="rId1727" Type="http://schemas.openxmlformats.org/officeDocument/2006/relationships/hyperlink" Target="https://en.wikipedia.org/wiki/Page_County,_Iowa" TargetMode="External"/><Relationship Id="rId1728" Type="http://schemas.openxmlformats.org/officeDocument/2006/relationships/hyperlink" Target="https://en.wikipedia.org/wiki/Iowa" TargetMode="External"/><Relationship Id="rId1729" Type="http://schemas.openxmlformats.org/officeDocument/2006/relationships/hyperlink" Target="https://en.wikipedia.org/wiki/Palo_Alto_County,_Iowa" TargetMode="External"/><Relationship Id="rId1752" Type="http://schemas.openxmlformats.org/officeDocument/2006/relationships/hyperlink" Target="https://en.wikipedia.org/wiki/Iowa" TargetMode="External"/><Relationship Id="rId1753" Type="http://schemas.openxmlformats.org/officeDocument/2006/relationships/hyperlink" Target="https://en.wikipedia.org/wiki/Tama_County,_Iowa" TargetMode="External"/><Relationship Id="rId1754" Type="http://schemas.openxmlformats.org/officeDocument/2006/relationships/hyperlink" Target="https://en.wikipedia.org/wiki/Iowa" TargetMode="External"/><Relationship Id="rId1755" Type="http://schemas.openxmlformats.org/officeDocument/2006/relationships/hyperlink" Target="https://en.wikipedia.org/wiki/Taylor_County,_Iowa" TargetMode="External"/><Relationship Id="rId1756" Type="http://schemas.openxmlformats.org/officeDocument/2006/relationships/hyperlink" Target="https://en.wikipedia.org/wiki/Iowa" TargetMode="External"/><Relationship Id="rId1757" Type="http://schemas.openxmlformats.org/officeDocument/2006/relationships/hyperlink" Target="https://en.wikipedia.org/wiki/Union_County,_Iowa" TargetMode="External"/><Relationship Id="rId1758" Type="http://schemas.openxmlformats.org/officeDocument/2006/relationships/hyperlink" Target="https://en.wikipedia.org/wiki/Iowa" TargetMode="External"/><Relationship Id="rId1759" Type="http://schemas.openxmlformats.org/officeDocument/2006/relationships/hyperlink" Target="https://en.wikipedia.org/wiki/Van_Buren_County,_Iowa" TargetMode="External"/><Relationship Id="rId1750" Type="http://schemas.openxmlformats.org/officeDocument/2006/relationships/hyperlink" Target="https://en.wikipedia.org/wiki/Iowa" TargetMode="External"/><Relationship Id="rId1751" Type="http://schemas.openxmlformats.org/officeDocument/2006/relationships/hyperlink" Target="https://en.wikipedia.org/wiki/Story_County,_Iowa" TargetMode="External"/><Relationship Id="rId1741" Type="http://schemas.openxmlformats.org/officeDocument/2006/relationships/hyperlink" Target="https://en.wikipedia.org/wiki/Ringgold_County,_Iowa" TargetMode="External"/><Relationship Id="rId1742" Type="http://schemas.openxmlformats.org/officeDocument/2006/relationships/hyperlink" Target="https://en.wikipedia.org/wiki/Iowa" TargetMode="External"/><Relationship Id="rId1743" Type="http://schemas.openxmlformats.org/officeDocument/2006/relationships/hyperlink" Target="https://en.wikipedia.org/wiki/Sac_County,_Iowa" TargetMode="External"/><Relationship Id="rId1744" Type="http://schemas.openxmlformats.org/officeDocument/2006/relationships/hyperlink" Target="https://en.wikipedia.org/wiki/Iowa" TargetMode="External"/><Relationship Id="rId1745" Type="http://schemas.openxmlformats.org/officeDocument/2006/relationships/hyperlink" Target="https://en.wikipedia.org/wiki/Scott_County,_Iowa" TargetMode="External"/><Relationship Id="rId1746" Type="http://schemas.openxmlformats.org/officeDocument/2006/relationships/hyperlink" Target="https://en.wikipedia.org/wiki/Iowa" TargetMode="External"/><Relationship Id="rId1747" Type="http://schemas.openxmlformats.org/officeDocument/2006/relationships/hyperlink" Target="https://en.wikipedia.org/wiki/Shelby_County,_Iowa" TargetMode="External"/><Relationship Id="rId1748" Type="http://schemas.openxmlformats.org/officeDocument/2006/relationships/hyperlink" Target="https://en.wikipedia.org/wiki/Iowa" TargetMode="External"/><Relationship Id="rId1749" Type="http://schemas.openxmlformats.org/officeDocument/2006/relationships/hyperlink" Target="https://en.wikipedia.org/wiki/Sioux_County,_Iowa" TargetMode="External"/><Relationship Id="rId1740" Type="http://schemas.openxmlformats.org/officeDocument/2006/relationships/hyperlink" Target="https://en.wikipedia.org/wiki/Iowa" TargetMode="External"/><Relationship Id="rId5291" Type="http://schemas.openxmlformats.org/officeDocument/2006/relationships/hyperlink" Target="https://en.wikipedia.org/wiki/Jasper_County,_Texas" TargetMode="External"/><Relationship Id="rId5292" Type="http://schemas.openxmlformats.org/officeDocument/2006/relationships/hyperlink" Target="https://en.wikipedia.org/wiki/Texas" TargetMode="External"/><Relationship Id="rId5290" Type="http://schemas.openxmlformats.org/officeDocument/2006/relationships/hyperlink" Target="https://en.wikipedia.org/wiki/Texas" TargetMode="External"/><Relationship Id="rId5295" Type="http://schemas.openxmlformats.org/officeDocument/2006/relationships/hyperlink" Target="https://en.wikipedia.org/wiki/Jefferson_County,_Texas" TargetMode="External"/><Relationship Id="rId5296" Type="http://schemas.openxmlformats.org/officeDocument/2006/relationships/hyperlink" Target="https://en.wikipedia.org/wiki/Texas" TargetMode="External"/><Relationship Id="rId5293" Type="http://schemas.openxmlformats.org/officeDocument/2006/relationships/hyperlink" Target="https://en.wikipedia.org/wiki/Jeff_Davis_County,_Texas" TargetMode="External"/><Relationship Id="rId5294" Type="http://schemas.openxmlformats.org/officeDocument/2006/relationships/hyperlink" Target="https://en.wikipedia.org/wiki/Texas" TargetMode="External"/><Relationship Id="rId5299" Type="http://schemas.openxmlformats.org/officeDocument/2006/relationships/hyperlink" Target="https://en.wikipedia.org/wiki/Jim_Wells_County,_Texas" TargetMode="External"/><Relationship Id="rId5297" Type="http://schemas.openxmlformats.org/officeDocument/2006/relationships/hyperlink" Target="https://en.wikipedia.org/wiki/Jim_Hogg_County,_Texas" TargetMode="External"/><Relationship Id="rId5298" Type="http://schemas.openxmlformats.org/officeDocument/2006/relationships/hyperlink" Target="https://en.wikipedia.org/wiki/Texas" TargetMode="External"/><Relationship Id="rId5280" Type="http://schemas.openxmlformats.org/officeDocument/2006/relationships/hyperlink" Target="https://en.wikipedia.org/wiki/Texas" TargetMode="External"/><Relationship Id="rId5281" Type="http://schemas.openxmlformats.org/officeDocument/2006/relationships/hyperlink" Target="https://en.wikipedia.org/wiki/Hunt_County,_Texas" TargetMode="External"/><Relationship Id="rId5284" Type="http://schemas.openxmlformats.org/officeDocument/2006/relationships/hyperlink" Target="https://en.wikipedia.org/wiki/Texas" TargetMode="External"/><Relationship Id="rId5285" Type="http://schemas.openxmlformats.org/officeDocument/2006/relationships/hyperlink" Target="https://en.wikipedia.org/wiki/Irion_County,_Texas" TargetMode="External"/><Relationship Id="rId5282" Type="http://schemas.openxmlformats.org/officeDocument/2006/relationships/hyperlink" Target="https://en.wikipedia.org/wiki/Texas" TargetMode="External"/><Relationship Id="rId5283" Type="http://schemas.openxmlformats.org/officeDocument/2006/relationships/hyperlink" Target="https://en.wikipedia.org/wiki/Hutchinson_County,_Texas" TargetMode="External"/><Relationship Id="rId5288" Type="http://schemas.openxmlformats.org/officeDocument/2006/relationships/hyperlink" Target="https://en.wikipedia.org/wiki/Texas" TargetMode="External"/><Relationship Id="rId5289" Type="http://schemas.openxmlformats.org/officeDocument/2006/relationships/hyperlink" Target="https://en.wikipedia.org/wiki/Jackson_County,_Texas" TargetMode="External"/><Relationship Id="rId5286" Type="http://schemas.openxmlformats.org/officeDocument/2006/relationships/hyperlink" Target="https://en.wikipedia.org/wiki/Texas" TargetMode="External"/><Relationship Id="rId5287" Type="http://schemas.openxmlformats.org/officeDocument/2006/relationships/hyperlink" Target="https://en.wikipedia.org/wiki/Jack_County,_Texas" TargetMode="External"/><Relationship Id="rId1710" Type="http://schemas.openxmlformats.org/officeDocument/2006/relationships/hyperlink" Target="https://en.wikipedia.org/wiki/Iowa" TargetMode="External"/><Relationship Id="rId1711" Type="http://schemas.openxmlformats.org/officeDocument/2006/relationships/hyperlink" Target="https://en.wikipedia.org/wiki/Mills_County,_Iowa" TargetMode="External"/><Relationship Id="rId1712" Type="http://schemas.openxmlformats.org/officeDocument/2006/relationships/hyperlink" Target="https://en.wikipedia.org/wiki/Iowa" TargetMode="External"/><Relationship Id="rId1713" Type="http://schemas.openxmlformats.org/officeDocument/2006/relationships/hyperlink" Target="https://en.wikipedia.org/wiki/Mitchell_County,_Iowa" TargetMode="External"/><Relationship Id="rId1714" Type="http://schemas.openxmlformats.org/officeDocument/2006/relationships/hyperlink" Target="https://en.wikipedia.org/wiki/Iowa" TargetMode="External"/><Relationship Id="rId1715" Type="http://schemas.openxmlformats.org/officeDocument/2006/relationships/hyperlink" Target="https://en.wikipedia.org/wiki/Monona_County,_Iowa" TargetMode="External"/><Relationship Id="rId1716" Type="http://schemas.openxmlformats.org/officeDocument/2006/relationships/hyperlink" Target="https://en.wikipedia.org/wiki/Iowa" TargetMode="External"/><Relationship Id="rId1717" Type="http://schemas.openxmlformats.org/officeDocument/2006/relationships/hyperlink" Target="https://en.wikipedia.org/wiki/Monroe_County,_Iowa" TargetMode="External"/><Relationship Id="rId1718" Type="http://schemas.openxmlformats.org/officeDocument/2006/relationships/hyperlink" Target="https://en.wikipedia.org/wiki/Iowa" TargetMode="External"/><Relationship Id="rId1719" Type="http://schemas.openxmlformats.org/officeDocument/2006/relationships/hyperlink" Target="https://en.wikipedia.org/wiki/Montgomery_County,_Iowa" TargetMode="External"/><Relationship Id="rId1700" Type="http://schemas.openxmlformats.org/officeDocument/2006/relationships/hyperlink" Target="https://en.wikipedia.org/wiki/Iowa" TargetMode="External"/><Relationship Id="rId1701" Type="http://schemas.openxmlformats.org/officeDocument/2006/relationships/hyperlink" Target="https://en.wikipedia.org/wiki/Lyon_County,_Iowa" TargetMode="External"/><Relationship Id="rId1702" Type="http://schemas.openxmlformats.org/officeDocument/2006/relationships/hyperlink" Target="https://en.wikipedia.org/wiki/Iowa" TargetMode="External"/><Relationship Id="rId1703" Type="http://schemas.openxmlformats.org/officeDocument/2006/relationships/hyperlink" Target="https://en.wikipedia.org/wiki/Madison_County,_Iowa" TargetMode="External"/><Relationship Id="rId1704" Type="http://schemas.openxmlformats.org/officeDocument/2006/relationships/hyperlink" Target="https://en.wikipedia.org/wiki/Iowa" TargetMode="External"/><Relationship Id="rId1705" Type="http://schemas.openxmlformats.org/officeDocument/2006/relationships/hyperlink" Target="https://en.wikipedia.org/wiki/Mahaska_County,_Iowa" TargetMode="External"/><Relationship Id="rId1706" Type="http://schemas.openxmlformats.org/officeDocument/2006/relationships/hyperlink" Target="https://en.wikipedia.org/wiki/Iowa" TargetMode="External"/><Relationship Id="rId1707" Type="http://schemas.openxmlformats.org/officeDocument/2006/relationships/hyperlink" Target="https://en.wikipedia.org/wiki/Marion_County,_Iowa" TargetMode="External"/><Relationship Id="rId1708" Type="http://schemas.openxmlformats.org/officeDocument/2006/relationships/hyperlink" Target="https://en.wikipedia.org/wiki/Iowa" TargetMode="External"/><Relationship Id="rId1709" Type="http://schemas.openxmlformats.org/officeDocument/2006/relationships/hyperlink" Target="https://en.wikipedia.org/wiki/Marshall_County,_Iowa" TargetMode="External"/><Relationship Id="rId40" Type="http://schemas.openxmlformats.org/officeDocument/2006/relationships/hyperlink" Target="https://en.wikipedia.org/wiki/Alabama" TargetMode="External"/><Relationship Id="rId42" Type="http://schemas.openxmlformats.org/officeDocument/2006/relationships/hyperlink" Target="https://en.wikipedia.org/wiki/Alabama" TargetMode="External"/><Relationship Id="rId41" Type="http://schemas.openxmlformats.org/officeDocument/2006/relationships/hyperlink" Target="https://en.wikipedia.org/wiki/Coosa_County,_Alabama" TargetMode="External"/><Relationship Id="rId44" Type="http://schemas.openxmlformats.org/officeDocument/2006/relationships/hyperlink" Target="https://en.wikipedia.org/wiki/Alabama" TargetMode="External"/><Relationship Id="rId43" Type="http://schemas.openxmlformats.org/officeDocument/2006/relationships/hyperlink" Target="https://en.wikipedia.org/wiki/Covington_County,_Alabama" TargetMode="External"/><Relationship Id="rId46" Type="http://schemas.openxmlformats.org/officeDocument/2006/relationships/hyperlink" Target="https://en.wikipedia.org/wiki/Alabama" TargetMode="External"/><Relationship Id="rId45" Type="http://schemas.openxmlformats.org/officeDocument/2006/relationships/hyperlink" Target="https://en.wikipedia.org/wiki/Crenshaw_County,_Alabama" TargetMode="External"/><Relationship Id="rId48" Type="http://schemas.openxmlformats.org/officeDocument/2006/relationships/hyperlink" Target="https://en.wikipedia.org/wiki/Alabama" TargetMode="External"/><Relationship Id="rId47" Type="http://schemas.openxmlformats.org/officeDocument/2006/relationships/hyperlink" Target="https://en.wikipedia.org/wiki/Cullman_County,_Alabama" TargetMode="External"/><Relationship Id="rId49" Type="http://schemas.openxmlformats.org/officeDocument/2006/relationships/hyperlink" Target="https://en.wikipedia.org/wiki/Dale_County,_Alabama" TargetMode="External"/><Relationship Id="rId31" Type="http://schemas.openxmlformats.org/officeDocument/2006/relationships/hyperlink" Target="https://en.wikipedia.org/wiki/Clay_County,_Alabama" TargetMode="External"/><Relationship Id="rId30" Type="http://schemas.openxmlformats.org/officeDocument/2006/relationships/hyperlink" Target="https://en.wikipedia.org/wiki/Alabama" TargetMode="External"/><Relationship Id="rId33" Type="http://schemas.openxmlformats.org/officeDocument/2006/relationships/hyperlink" Target="https://en.wikipedia.org/wiki/Cleburne_County,_Alabama" TargetMode="External"/><Relationship Id="rId32" Type="http://schemas.openxmlformats.org/officeDocument/2006/relationships/hyperlink" Target="https://en.wikipedia.org/wiki/Alabama" TargetMode="External"/><Relationship Id="rId35" Type="http://schemas.openxmlformats.org/officeDocument/2006/relationships/hyperlink" Target="https://en.wikipedia.org/wiki/Coffee_County,_Alabama" TargetMode="External"/><Relationship Id="rId34" Type="http://schemas.openxmlformats.org/officeDocument/2006/relationships/hyperlink" Target="https://en.wikipedia.org/wiki/Alabama" TargetMode="External"/><Relationship Id="rId37" Type="http://schemas.openxmlformats.org/officeDocument/2006/relationships/hyperlink" Target="https://en.wikipedia.org/wiki/Colbert_County,_Alabama" TargetMode="External"/><Relationship Id="rId36" Type="http://schemas.openxmlformats.org/officeDocument/2006/relationships/hyperlink" Target="https://en.wikipedia.org/wiki/Alabama" TargetMode="External"/><Relationship Id="rId39" Type="http://schemas.openxmlformats.org/officeDocument/2006/relationships/hyperlink" Target="https://en.wikipedia.org/wiki/Conecuh_County,_Alabama" TargetMode="External"/><Relationship Id="rId38" Type="http://schemas.openxmlformats.org/officeDocument/2006/relationships/hyperlink" Target="https://en.wikipedia.org/wiki/Alabama" TargetMode="External"/><Relationship Id="rId20" Type="http://schemas.openxmlformats.org/officeDocument/2006/relationships/hyperlink" Target="https://en.wikipedia.org/wiki/Alabama" TargetMode="External"/><Relationship Id="rId22" Type="http://schemas.openxmlformats.org/officeDocument/2006/relationships/hyperlink" Target="https://en.wikipedia.org/wiki/Alabama" TargetMode="External"/><Relationship Id="rId21" Type="http://schemas.openxmlformats.org/officeDocument/2006/relationships/hyperlink" Target="https://en.wikipedia.org/wiki/Calhoun_County,_Alabama" TargetMode="External"/><Relationship Id="rId24" Type="http://schemas.openxmlformats.org/officeDocument/2006/relationships/hyperlink" Target="https://en.wikipedia.org/wiki/Alabama" TargetMode="External"/><Relationship Id="rId23" Type="http://schemas.openxmlformats.org/officeDocument/2006/relationships/hyperlink" Target="https://en.wikipedia.org/wiki/Chambers_County,_Alabama" TargetMode="External"/><Relationship Id="rId26" Type="http://schemas.openxmlformats.org/officeDocument/2006/relationships/hyperlink" Target="https://en.wikipedia.org/wiki/Alabama" TargetMode="External"/><Relationship Id="rId25" Type="http://schemas.openxmlformats.org/officeDocument/2006/relationships/hyperlink" Target="https://en.wikipedia.org/wiki/Chilton_County,_Alabama" TargetMode="External"/><Relationship Id="rId28" Type="http://schemas.openxmlformats.org/officeDocument/2006/relationships/hyperlink" Target="https://en.wikipedia.org/wiki/Alabama" TargetMode="External"/><Relationship Id="rId27" Type="http://schemas.openxmlformats.org/officeDocument/2006/relationships/hyperlink" Target="https://en.wikipedia.org/wiki/Choctaw_County,_Alabama" TargetMode="External"/><Relationship Id="rId29" Type="http://schemas.openxmlformats.org/officeDocument/2006/relationships/hyperlink" Target="https://en.wikipedia.org/wiki/Clarke_County,_Alabama" TargetMode="External"/><Relationship Id="rId11" Type="http://schemas.openxmlformats.org/officeDocument/2006/relationships/hyperlink" Target="https://en.wikipedia.org/wiki/Barbour_County,_Alabama" TargetMode="External"/><Relationship Id="rId10" Type="http://schemas.openxmlformats.org/officeDocument/2006/relationships/hyperlink" Target="https://en.wikipedia.org/wiki/Alabama" TargetMode="External"/><Relationship Id="rId13" Type="http://schemas.openxmlformats.org/officeDocument/2006/relationships/hyperlink" Target="https://en.wikipedia.org/wiki/Bibb_County,_Alabama" TargetMode="External"/><Relationship Id="rId12" Type="http://schemas.openxmlformats.org/officeDocument/2006/relationships/hyperlink" Target="https://en.wikipedia.org/wiki/Alabama" TargetMode="External"/><Relationship Id="rId15" Type="http://schemas.openxmlformats.org/officeDocument/2006/relationships/hyperlink" Target="https://en.wikipedia.org/wiki/Blount_County,_Alabama" TargetMode="External"/><Relationship Id="rId14" Type="http://schemas.openxmlformats.org/officeDocument/2006/relationships/hyperlink" Target="https://en.wikipedia.org/wiki/Alabama" TargetMode="External"/><Relationship Id="rId17" Type="http://schemas.openxmlformats.org/officeDocument/2006/relationships/hyperlink" Target="https://en.wikipedia.org/wiki/Bullock_County,_Alabama" TargetMode="External"/><Relationship Id="rId16" Type="http://schemas.openxmlformats.org/officeDocument/2006/relationships/hyperlink" Target="https://en.wikipedia.org/wiki/Alabama" TargetMode="External"/><Relationship Id="rId19" Type="http://schemas.openxmlformats.org/officeDocument/2006/relationships/hyperlink" Target="https://en.wikipedia.org/wiki/Butler_County,_Alabama" TargetMode="External"/><Relationship Id="rId18" Type="http://schemas.openxmlformats.org/officeDocument/2006/relationships/hyperlink" Target="https://en.wikipedia.org/wiki/Alabama" TargetMode="External"/><Relationship Id="rId84" Type="http://schemas.openxmlformats.org/officeDocument/2006/relationships/hyperlink" Target="https://en.wikipedia.org/wiki/Alabama" TargetMode="External"/><Relationship Id="rId1774" Type="http://schemas.openxmlformats.org/officeDocument/2006/relationships/hyperlink" Target="https://en.wikipedia.org/wiki/Iowa" TargetMode="External"/><Relationship Id="rId83" Type="http://schemas.openxmlformats.org/officeDocument/2006/relationships/hyperlink" Target="https://en.wikipedia.org/wiki/Lawrence_County,_Alabama" TargetMode="External"/><Relationship Id="rId1775" Type="http://schemas.openxmlformats.org/officeDocument/2006/relationships/hyperlink" Target="https://en.wikipedia.org/wiki/Woodbury_County,_Iowa" TargetMode="External"/><Relationship Id="rId86" Type="http://schemas.openxmlformats.org/officeDocument/2006/relationships/hyperlink" Target="https://en.wikipedia.org/wiki/Alabama" TargetMode="External"/><Relationship Id="rId1776" Type="http://schemas.openxmlformats.org/officeDocument/2006/relationships/hyperlink" Target="https://en.wikipedia.org/wiki/Iowa" TargetMode="External"/><Relationship Id="rId85" Type="http://schemas.openxmlformats.org/officeDocument/2006/relationships/hyperlink" Target="https://en.wikipedia.org/wiki/Lee_County,_Alabama" TargetMode="External"/><Relationship Id="rId1777" Type="http://schemas.openxmlformats.org/officeDocument/2006/relationships/hyperlink" Target="https://en.wikipedia.org/wiki/Worth_County,_Iowa" TargetMode="External"/><Relationship Id="rId88" Type="http://schemas.openxmlformats.org/officeDocument/2006/relationships/hyperlink" Target="https://en.wikipedia.org/wiki/Alabama" TargetMode="External"/><Relationship Id="rId1778" Type="http://schemas.openxmlformats.org/officeDocument/2006/relationships/hyperlink" Target="https://en.wikipedia.org/wiki/Iowa" TargetMode="External"/><Relationship Id="rId87" Type="http://schemas.openxmlformats.org/officeDocument/2006/relationships/hyperlink" Target="https://en.wikipedia.org/wiki/Limestone_County,_Alabama" TargetMode="External"/><Relationship Id="rId1779" Type="http://schemas.openxmlformats.org/officeDocument/2006/relationships/hyperlink" Target="https://en.wikipedia.org/wiki/Wright_County,_Iowa" TargetMode="External"/><Relationship Id="rId89" Type="http://schemas.openxmlformats.org/officeDocument/2006/relationships/hyperlink" Target="https://en.wikipedia.org/wiki/Lowndes_County,_Alabama" TargetMode="External"/><Relationship Id="rId80" Type="http://schemas.openxmlformats.org/officeDocument/2006/relationships/hyperlink" Target="https://en.wikipedia.org/wiki/Alabama" TargetMode="External"/><Relationship Id="rId82" Type="http://schemas.openxmlformats.org/officeDocument/2006/relationships/hyperlink" Target="https://en.wikipedia.org/wiki/Alabama" TargetMode="External"/><Relationship Id="rId81" Type="http://schemas.openxmlformats.org/officeDocument/2006/relationships/hyperlink" Target="https://en.wikipedia.org/wiki/Lauderdale_County,_Alabama" TargetMode="External"/><Relationship Id="rId1770" Type="http://schemas.openxmlformats.org/officeDocument/2006/relationships/hyperlink" Target="https://en.wikipedia.org/wiki/Iowa" TargetMode="External"/><Relationship Id="rId1771" Type="http://schemas.openxmlformats.org/officeDocument/2006/relationships/hyperlink" Target="https://en.wikipedia.org/wiki/Winnebago_County,_Iowa" TargetMode="External"/><Relationship Id="rId1772" Type="http://schemas.openxmlformats.org/officeDocument/2006/relationships/hyperlink" Target="https://en.wikipedia.org/wiki/Iowa" TargetMode="External"/><Relationship Id="rId1773" Type="http://schemas.openxmlformats.org/officeDocument/2006/relationships/hyperlink" Target="https://en.wikipedia.org/wiki/Winneshiek_County,_Iowa" TargetMode="External"/><Relationship Id="rId73" Type="http://schemas.openxmlformats.org/officeDocument/2006/relationships/hyperlink" Target="https://en.wikipedia.org/wiki/Houston_County,_Alabama" TargetMode="External"/><Relationship Id="rId1763" Type="http://schemas.openxmlformats.org/officeDocument/2006/relationships/hyperlink" Target="https://en.wikipedia.org/wiki/Warren_County,_Iowa" TargetMode="External"/><Relationship Id="rId72" Type="http://schemas.openxmlformats.org/officeDocument/2006/relationships/hyperlink" Target="https://en.wikipedia.org/wiki/Alabama" TargetMode="External"/><Relationship Id="rId1764" Type="http://schemas.openxmlformats.org/officeDocument/2006/relationships/hyperlink" Target="https://en.wikipedia.org/wiki/Iowa" TargetMode="External"/><Relationship Id="rId75" Type="http://schemas.openxmlformats.org/officeDocument/2006/relationships/hyperlink" Target="https://en.wikipedia.org/wiki/Jackson_County,_Alabama" TargetMode="External"/><Relationship Id="rId1765" Type="http://schemas.openxmlformats.org/officeDocument/2006/relationships/hyperlink" Target="https://en.wikipedia.org/wiki/Washington_County,_Iowa" TargetMode="External"/><Relationship Id="rId74" Type="http://schemas.openxmlformats.org/officeDocument/2006/relationships/hyperlink" Target="https://en.wikipedia.org/wiki/Alabama" TargetMode="External"/><Relationship Id="rId1766" Type="http://schemas.openxmlformats.org/officeDocument/2006/relationships/hyperlink" Target="https://en.wikipedia.org/wiki/Iowa" TargetMode="External"/><Relationship Id="rId77" Type="http://schemas.openxmlformats.org/officeDocument/2006/relationships/hyperlink" Target="https://en.wikipedia.org/wiki/Jefferson_County,_Alabama" TargetMode="External"/><Relationship Id="rId1767" Type="http://schemas.openxmlformats.org/officeDocument/2006/relationships/hyperlink" Target="https://en.wikipedia.org/wiki/Wayne_County,_Iowa" TargetMode="External"/><Relationship Id="rId76" Type="http://schemas.openxmlformats.org/officeDocument/2006/relationships/hyperlink" Target="https://en.wikipedia.org/wiki/Alabama" TargetMode="External"/><Relationship Id="rId1768" Type="http://schemas.openxmlformats.org/officeDocument/2006/relationships/hyperlink" Target="https://en.wikipedia.org/wiki/Iowa" TargetMode="External"/><Relationship Id="rId79" Type="http://schemas.openxmlformats.org/officeDocument/2006/relationships/hyperlink" Target="https://en.wikipedia.org/wiki/Lamar_County,_Alabama" TargetMode="External"/><Relationship Id="rId1769" Type="http://schemas.openxmlformats.org/officeDocument/2006/relationships/hyperlink" Target="https://en.wikipedia.org/wiki/Webster_County,_Iowa" TargetMode="External"/><Relationship Id="rId78" Type="http://schemas.openxmlformats.org/officeDocument/2006/relationships/hyperlink" Target="https://en.wikipedia.org/wiki/Alabama" TargetMode="External"/><Relationship Id="rId71" Type="http://schemas.openxmlformats.org/officeDocument/2006/relationships/hyperlink" Target="https://en.wikipedia.org/wiki/Henry_County,_Alabama" TargetMode="External"/><Relationship Id="rId70" Type="http://schemas.openxmlformats.org/officeDocument/2006/relationships/hyperlink" Target="https://en.wikipedia.org/wiki/Alabama" TargetMode="External"/><Relationship Id="rId1760" Type="http://schemas.openxmlformats.org/officeDocument/2006/relationships/hyperlink" Target="https://en.wikipedia.org/wiki/Iowa" TargetMode="External"/><Relationship Id="rId1761" Type="http://schemas.openxmlformats.org/officeDocument/2006/relationships/hyperlink" Target="https://en.wikipedia.org/wiki/Wapello_County,_Iowa" TargetMode="External"/><Relationship Id="rId1762" Type="http://schemas.openxmlformats.org/officeDocument/2006/relationships/hyperlink" Target="https://en.wikipedia.org/wiki/Iowa" TargetMode="External"/><Relationship Id="rId62" Type="http://schemas.openxmlformats.org/officeDocument/2006/relationships/hyperlink" Target="https://en.wikipedia.org/wiki/Alabama" TargetMode="External"/><Relationship Id="rId1796" Type="http://schemas.openxmlformats.org/officeDocument/2006/relationships/hyperlink" Target="https://en.wikipedia.org/wiki/Kansas" TargetMode="External"/><Relationship Id="rId61" Type="http://schemas.openxmlformats.org/officeDocument/2006/relationships/hyperlink" Target="https://en.wikipedia.org/wiki/Fayette_County,_Alabama" TargetMode="External"/><Relationship Id="rId1797" Type="http://schemas.openxmlformats.org/officeDocument/2006/relationships/hyperlink" Target="https://en.wikipedia.org/wiki/Chase_County,_Kansas" TargetMode="External"/><Relationship Id="rId64" Type="http://schemas.openxmlformats.org/officeDocument/2006/relationships/hyperlink" Target="https://en.wikipedia.org/wiki/Alabama" TargetMode="External"/><Relationship Id="rId1798" Type="http://schemas.openxmlformats.org/officeDocument/2006/relationships/hyperlink" Target="https://en.wikipedia.org/wiki/Kansas" TargetMode="External"/><Relationship Id="rId63" Type="http://schemas.openxmlformats.org/officeDocument/2006/relationships/hyperlink" Target="https://en.wikipedia.org/wiki/Franklin_County,_Alabama" TargetMode="External"/><Relationship Id="rId1799" Type="http://schemas.openxmlformats.org/officeDocument/2006/relationships/hyperlink" Target="https://en.wikipedia.org/wiki/Chautauqua_County,_Kansas" TargetMode="External"/><Relationship Id="rId66" Type="http://schemas.openxmlformats.org/officeDocument/2006/relationships/hyperlink" Target="https://en.wikipedia.org/wiki/Alabama" TargetMode="External"/><Relationship Id="rId65" Type="http://schemas.openxmlformats.org/officeDocument/2006/relationships/hyperlink" Target="https://en.wikipedia.org/wiki/Geneva_County,_Alabama" TargetMode="External"/><Relationship Id="rId68" Type="http://schemas.openxmlformats.org/officeDocument/2006/relationships/hyperlink" Target="https://en.wikipedia.org/wiki/Alabama" TargetMode="External"/><Relationship Id="rId67" Type="http://schemas.openxmlformats.org/officeDocument/2006/relationships/hyperlink" Target="https://en.wikipedia.org/wiki/Greene_County,_Alabama" TargetMode="External"/><Relationship Id="rId60" Type="http://schemas.openxmlformats.org/officeDocument/2006/relationships/hyperlink" Target="https://en.wikipedia.org/wiki/Alabama" TargetMode="External"/><Relationship Id="rId69" Type="http://schemas.openxmlformats.org/officeDocument/2006/relationships/hyperlink" Target="https://en.wikipedia.org/wiki/Hale_County,_Alabama" TargetMode="External"/><Relationship Id="rId1790" Type="http://schemas.openxmlformats.org/officeDocument/2006/relationships/hyperlink" Target="https://en.wikipedia.org/wiki/Kansas" TargetMode="External"/><Relationship Id="rId1791" Type="http://schemas.openxmlformats.org/officeDocument/2006/relationships/hyperlink" Target="https://en.wikipedia.org/wiki/Bourbon_County,_Kansas" TargetMode="External"/><Relationship Id="rId1792" Type="http://schemas.openxmlformats.org/officeDocument/2006/relationships/hyperlink" Target="https://en.wikipedia.org/wiki/Kansas" TargetMode="External"/><Relationship Id="rId1793" Type="http://schemas.openxmlformats.org/officeDocument/2006/relationships/hyperlink" Target="https://en.wikipedia.org/wiki/Brown_County,_Kansas" TargetMode="External"/><Relationship Id="rId1794" Type="http://schemas.openxmlformats.org/officeDocument/2006/relationships/hyperlink" Target="https://en.wikipedia.org/wiki/Kansas" TargetMode="External"/><Relationship Id="rId1795" Type="http://schemas.openxmlformats.org/officeDocument/2006/relationships/hyperlink" Target="https://en.wikipedia.org/wiki/Butler_County,_Kansas" TargetMode="External"/><Relationship Id="rId51" Type="http://schemas.openxmlformats.org/officeDocument/2006/relationships/hyperlink" Target="https://en.wikipedia.org/wiki/Dallas_County,_Alabama" TargetMode="External"/><Relationship Id="rId1785" Type="http://schemas.openxmlformats.org/officeDocument/2006/relationships/hyperlink" Target="https://en.wikipedia.org/wiki/Atchison_County,_Kansas" TargetMode="External"/><Relationship Id="rId50" Type="http://schemas.openxmlformats.org/officeDocument/2006/relationships/hyperlink" Target="https://en.wikipedia.org/wiki/Alabama" TargetMode="External"/><Relationship Id="rId1786" Type="http://schemas.openxmlformats.org/officeDocument/2006/relationships/hyperlink" Target="https://en.wikipedia.org/wiki/Kansas" TargetMode="External"/><Relationship Id="rId53" Type="http://schemas.openxmlformats.org/officeDocument/2006/relationships/hyperlink" Target="https://en.wikipedia.org/wiki/DeKalb_County,_Alabama" TargetMode="External"/><Relationship Id="rId1787" Type="http://schemas.openxmlformats.org/officeDocument/2006/relationships/hyperlink" Target="https://en.wikipedia.org/wiki/Barber_County,_Kansas" TargetMode="External"/><Relationship Id="rId52" Type="http://schemas.openxmlformats.org/officeDocument/2006/relationships/hyperlink" Target="https://en.wikipedia.org/wiki/Alabama" TargetMode="External"/><Relationship Id="rId1788" Type="http://schemas.openxmlformats.org/officeDocument/2006/relationships/hyperlink" Target="https://en.wikipedia.org/wiki/Kansas" TargetMode="External"/><Relationship Id="rId55" Type="http://schemas.openxmlformats.org/officeDocument/2006/relationships/hyperlink" Target="https://en.wikipedia.org/wiki/Elmore_County,_Alabama" TargetMode="External"/><Relationship Id="rId1789" Type="http://schemas.openxmlformats.org/officeDocument/2006/relationships/hyperlink" Target="https://en.wikipedia.org/wiki/Barton_County,_Kansas" TargetMode="External"/><Relationship Id="rId54" Type="http://schemas.openxmlformats.org/officeDocument/2006/relationships/hyperlink" Target="https://en.wikipedia.org/wiki/Alabama" TargetMode="External"/><Relationship Id="rId57" Type="http://schemas.openxmlformats.org/officeDocument/2006/relationships/hyperlink" Target="https://en.wikipedia.org/wiki/Escambia_County,_Alabama" TargetMode="External"/><Relationship Id="rId56" Type="http://schemas.openxmlformats.org/officeDocument/2006/relationships/hyperlink" Target="https://en.wikipedia.org/wiki/Alabama" TargetMode="External"/><Relationship Id="rId59" Type="http://schemas.openxmlformats.org/officeDocument/2006/relationships/hyperlink" Target="https://en.wikipedia.org/wiki/Etowah_County,_Alabama" TargetMode="External"/><Relationship Id="rId58" Type="http://schemas.openxmlformats.org/officeDocument/2006/relationships/hyperlink" Target="https://en.wikipedia.org/wiki/Alabama" TargetMode="External"/><Relationship Id="rId1780" Type="http://schemas.openxmlformats.org/officeDocument/2006/relationships/hyperlink" Target="https://en.wikipedia.org/wiki/Kansas" TargetMode="External"/><Relationship Id="rId1781" Type="http://schemas.openxmlformats.org/officeDocument/2006/relationships/hyperlink" Target="https://en.wikipedia.org/wiki/Allen_County,_Kansas" TargetMode="External"/><Relationship Id="rId1782" Type="http://schemas.openxmlformats.org/officeDocument/2006/relationships/hyperlink" Target="https://en.wikipedia.org/wiki/Kansas" TargetMode="External"/><Relationship Id="rId1783" Type="http://schemas.openxmlformats.org/officeDocument/2006/relationships/hyperlink" Target="https://en.wikipedia.org/wiki/Anderson_County,_Kansas" TargetMode="External"/><Relationship Id="rId1784" Type="http://schemas.openxmlformats.org/officeDocument/2006/relationships/hyperlink" Target="https://en.wikipedia.org/wiki/Kansas" TargetMode="External"/><Relationship Id="rId349" Type="http://schemas.openxmlformats.org/officeDocument/2006/relationships/hyperlink" Target="https://en.wikipedia.org/wiki/St._Francis_County,_Arkansas" TargetMode="External"/><Relationship Id="rId348" Type="http://schemas.openxmlformats.org/officeDocument/2006/relationships/hyperlink" Target="https://en.wikipedia.org/wiki/Arkansas" TargetMode="External"/><Relationship Id="rId347" Type="http://schemas.openxmlformats.org/officeDocument/2006/relationships/hyperlink" Target="https://en.wikipedia.org/wiki/Randolph_County,_Arkansas" TargetMode="External"/><Relationship Id="rId346" Type="http://schemas.openxmlformats.org/officeDocument/2006/relationships/hyperlink" Target="https://en.wikipedia.org/wiki/Arkansas" TargetMode="External"/><Relationship Id="rId341" Type="http://schemas.openxmlformats.org/officeDocument/2006/relationships/hyperlink" Target="https://en.wikipedia.org/wiki/Pope_County,_Arkansas" TargetMode="External"/><Relationship Id="rId340" Type="http://schemas.openxmlformats.org/officeDocument/2006/relationships/hyperlink" Target="https://en.wikipedia.org/wiki/Arkansas" TargetMode="External"/><Relationship Id="rId345" Type="http://schemas.openxmlformats.org/officeDocument/2006/relationships/hyperlink" Target="https://en.wikipedia.org/wiki/Pulaski_County,_Arkansas" TargetMode="External"/><Relationship Id="rId344" Type="http://schemas.openxmlformats.org/officeDocument/2006/relationships/hyperlink" Target="https://en.wikipedia.org/wiki/Arkansas" TargetMode="External"/><Relationship Id="rId343" Type="http://schemas.openxmlformats.org/officeDocument/2006/relationships/hyperlink" Target="https://en.wikipedia.org/wiki/Prairie_County,_Arkansas" TargetMode="External"/><Relationship Id="rId342" Type="http://schemas.openxmlformats.org/officeDocument/2006/relationships/hyperlink" Target="https://en.wikipedia.org/wiki/Arkansas" TargetMode="External"/><Relationship Id="rId338" Type="http://schemas.openxmlformats.org/officeDocument/2006/relationships/hyperlink" Target="https://en.wikipedia.org/wiki/Arkansas" TargetMode="External"/><Relationship Id="rId337" Type="http://schemas.openxmlformats.org/officeDocument/2006/relationships/hyperlink" Target="https://en.wikipedia.org/wiki/Poinsett_County,_Arkansas" TargetMode="External"/><Relationship Id="rId336" Type="http://schemas.openxmlformats.org/officeDocument/2006/relationships/hyperlink" Target="https://en.wikipedia.org/wiki/Arkansas" TargetMode="External"/><Relationship Id="rId335" Type="http://schemas.openxmlformats.org/officeDocument/2006/relationships/hyperlink" Target="https://en.wikipedia.org/wiki/Pike_County,_Arkansas" TargetMode="External"/><Relationship Id="rId339" Type="http://schemas.openxmlformats.org/officeDocument/2006/relationships/hyperlink" Target="https://en.wikipedia.org/wiki/Polk_County,_Arkansas" TargetMode="External"/><Relationship Id="rId330" Type="http://schemas.openxmlformats.org/officeDocument/2006/relationships/hyperlink" Target="https://en.wikipedia.org/wiki/Arkansas" TargetMode="External"/><Relationship Id="rId334" Type="http://schemas.openxmlformats.org/officeDocument/2006/relationships/hyperlink" Target="https://en.wikipedia.org/wiki/Arkansas" TargetMode="External"/><Relationship Id="rId333" Type="http://schemas.openxmlformats.org/officeDocument/2006/relationships/hyperlink" Target="https://en.wikipedia.org/wiki/Phillips_County,_Arkansas" TargetMode="External"/><Relationship Id="rId332" Type="http://schemas.openxmlformats.org/officeDocument/2006/relationships/hyperlink" Target="https://en.wikipedia.org/wiki/Arkansas" TargetMode="External"/><Relationship Id="rId331" Type="http://schemas.openxmlformats.org/officeDocument/2006/relationships/hyperlink" Target="https://en.wikipedia.org/wiki/Perry_County,_Arkansas" TargetMode="External"/><Relationship Id="rId5318" Type="http://schemas.openxmlformats.org/officeDocument/2006/relationships/hyperlink" Target="https://en.wikipedia.org/wiki/Texas" TargetMode="External"/><Relationship Id="rId5319" Type="http://schemas.openxmlformats.org/officeDocument/2006/relationships/hyperlink" Target="https://en.wikipedia.org/wiki/King_County,_Texas" TargetMode="External"/><Relationship Id="rId5316" Type="http://schemas.openxmlformats.org/officeDocument/2006/relationships/hyperlink" Target="https://en.wikipedia.org/wiki/Texas" TargetMode="External"/><Relationship Id="rId5317" Type="http://schemas.openxmlformats.org/officeDocument/2006/relationships/hyperlink" Target="https://en.wikipedia.org/wiki/Kimble_County,_Texas" TargetMode="External"/><Relationship Id="rId370" Type="http://schemas.openxmlformats.org/officeDocument/2006/relationships/hyperlink" Target="https://en.wikipedia.org/wiki/Arkansas" TargetMode="External"/><Relationship Id="rId369" Type="http://schemas.openxmlformats.org/officeDocument/2006/relationships/hyperlink" Target="https://en.wikipedia.org/wiki/Washington_County,_Arkansas" TargetMode="External"/><Relationship Id="rId368" Type="http://schemas.openxmlformats.org/officeDocument/2006/relationships/hyperlink" Target="https://en.wikipedia.org/wiki/Arkansas" TargetMode="External"/><Relationship Id="rId363" Type="http://schemas.openxmlformats.org/officeDocument/2006/relationships/hyperlink" Target="https://en.wikipedia.org/wiki/Stone_County,_Arkansas" TargetMode="External"/><Relationship Id="rId5310" Type="http://schemas.openxmlformats.org/officeDocument/2006/relationships/hyperlink" Target="https://en.wikipedia.org/wiki/Texas" TargetMode="External"/><Relationship Id="rId362" Type="http://schemas.openxmlformats.org/officeDocument/2006/relationships/hyperlink" Target="https://en.wikipedia.org/wiki/Arkansas" TargetMode="External"/><Relationship Id="rId5311" Type="http://schemas.openxmlformats.org/officeDocument/2006/relationships/hyperlink" Target="https://en.wikipedia.org/wiki/Kenedy_County,_Texas" TargetMode="External"/><Relationship Id="rId361" Type="http://schemas.openxmlformats.org/officeDocument/2006/relationships/hyperlink" Target="https://en.wikipedia.org/wiki/Sharp_County,_Arkansas" TargetMode="External"/><Relationship Id="rId360" Type="http://schemas.openxmlformats.org/officeDocument/2006/relationships/hyperlink" Target="https://en.wikipedia.org/wiki/Arkansas" TargetMode="External"/><Relationship Id="rId367" Type="http://schemas.openxmlformats.org/officeDocument/2006/relationships/hyperlink" Target="https://en.wikipedia.org/wiki/Van_Buren_County,_Arkansas" TargetMode="External"/><Relationship Id="rId5314" Type="http://schemas.openxmlformats.org/officeDocument/2006/relationships/hyperlink" Target="https://en.wikipedia.org/wiki/Texas" TargetMode="External"/><Relationship Id="rId366" Type="http://schemas.openxmlformats.org/officeDocument/2006/relationships/hyperlink" Target="https://en.wikipedia.org/wiki/Arkansas" TargetMode="External"/><Relationship Id="rId5315" Type="http://schemas.openxmlformats.org/officeDocument/2006/relationships/hyperlink" Target="https://en.wikipedia.org/wiki/Kerr_County,_Texas" TargetMode="External"/><Relationship Id="rId365" Type="http://schemas.openxmlformats.org/officeDocument/2006/relationships/hyperlink" Target="https://en.wikipedia.org/wiki/Union_County,_Arkansas" TargetMode="External"/><Relationship Id="rId5312" Type="http://schemas.openxmlformats.org/officeDocument/2006/relationships/hyperlink" Target="https://en.wikipedia.org/wiki/Texas" TargetMode="External"/><Relationship Id="rId364" Type="http://schemas.openxmlformats.org/officeDocument/2006/relationships/hyperlink" Target="https://en.wikipedia.org/wiki/Arkansas" TargetMode="External"/><Relationship Id="rId5313" Type="http://schemas.openxmlformats.org/officeDocument/2006/relationships/hyperlink" Target="https://en.wikipedia.org/wiki/Kent_County,_Texas" TargetMode="External"/><Relationship Id="rId95" Type="http://schemas.openxmlformats.org/officeDocument/2006/relationships/hyperlink" Target="https://en.wikipedia.org/wiki/Marengo_County,_Alabama" TargetMode="External"/><Relationship Id="rId5307" Type="http://schemas.openxmlformats.org/officeDocument/2006/relationships/hyperlink" Target="https://en.wikipedia.org/wiki/Kaufman_County,_Texas" TargetMode="External"/><Relationship Id="rId94" Type="http://schemas.openxmlformats.org/officeDocument/2006/relationships/hyperlink" Target="https://en.wikipedia.org/wiki/Alabama" TargetMode="External"/><Relationship Id="rId5308" Type="http://schemas.openxmlformats.org/officeDocument/2006/relationships/hyperlink" Target="https://en.wikipedia.org/wiki/Texas" TargetMode="External"/><Relationship Id="rId97" Type="http://schemas.openxmlformats.org/officeDocument/2006/relationships/hyperlink" Target="https://en.wikipedia.org/wiki/Marion_County,_Alabama" TargetMode="External"/><Relationship Id="rId5305" Type="http://schemas.openxmlformats.org/officeDocument/2006/relationships/hyperlink" Target="https://en.wikipedia.org/wiki/Karnes_County,_Texas" TargetMode="External"/><Relationship Id="rId96" Type="http://schemas.openxmlformats.org/officeDocument/2006/relationships/hyperlink" Target="https://en.wikipedia.org/wiki/Alabama" TargetMode="External"/><Relationship Id="rId5306" Type="http://schemas.openxmlformats.org/officeDocument/2006/relationships/hyperlink" Target="https://en.wikipedia.org/wiki/Texas" TargetMode="External"/><Relationship Id="rId99" Type="http://schemas.openxmlformats.org/officeDocument/2006/relationships/hyperlink" Target="https://en.wikipedia.org/wiki/Marshall_County,_Alabama" TargetMode="External"/><Relationship Id="rId98" Type="http://schemas.openxmlformats.org/officeDocument/2006/relationships/hyperlink" Target="https://en.wikipedia.org/wiki/Alabama" TargetMode="External"/><Relationship Id="rId5309" Type="http://schemas.openxmlformats.org/officeDocument/2006/relationships/hyperlink" Target="https://en.wikipedia.org/wiki/Kendall_County,_Texas" TargetMode="External"/><Relationship Id="rId91" Type="http://schemas.openxmlformats.org/officeDocument/2006/relationships/hyperlink" Target="https://en.wikipedia.org/wiki/Macon_County,_Alabama" TargetMode="External"/><Relationship Id="rId90" Type="http://schemas.openxmlformats.org/officeDocument/2006/relationships/hyperlink" Target="https://en.wikipedia.org/wiki/Alabama" TargetMode="External"/><Relationship Id="rId93" Type="http://schemas.openxmlformats.org/officeDocument/2006/relationships/hyperlink" Target="https://en.wikipedia.org/wiki/Madison_County,_Alabama" TargetMode="External"/><Relationship Id="rId92" Type="http://schemas.openxmlformats.org/officeDocument/2006/relationships/hyperlink" Target="https://en.wikipedia.org/wiki/Alabama" TargetMode="External"/><Relationship Id="rId359" Type="http://schemas.openxmlformats.org/officeDocument/2006/relationships/hyperlink" Target="https://en.wikipedia.org/wiki/Sevier_County,_Arkansas" TargetMode="External"/><Relationship Id="rId358" Type="http://schemas.openxmlformats.org/officeDocument/2006/relationships/hyperlink" Target="https://en.wikipedia.org/wiki/Arkansas" TargetMode="External"/><Relationship Id="rId357" Type="http://schemas.openxmlformats.org/officeDocument/2006/relationships/hyperlink" Target="https://en.wikipedia.org/wiki/Sebastian_County,_Arkansas" TargetMode="External"/><Relationship Id="rId352" Type="http://schemas.openxmlformats.org/officeDocument/2006/relationships/hyperlink" Target="https://en.wikipedia.org/wiki/Arkansas" TargetMode="External"/><Relationship Id="rId351" Type="http://schemas.openxmlformats.org/officeDocument/2006/relationships/hyperlink" Target="https://en.wikipedia.org/wiki/Saline_County,_Arkansas" TargetMode="External"/><Relationship Id="rId5300" Type="http://schemas.openxmlformats.org/officeDocument/2006/relationships/hyperlink" Target="https://en.wikipedia.org/wiki/Texas" TargetMode="External"/><Relationship Id="rId350" Type="http://schemas.openxmlformats.org/officeDocument/2006/relationships/hyperlink" Target="https://en.wikipedia.org/wiki/Arkansas" TargetMode="External"/><Relationship Id="rId356" Type="http://schemas.openxmlformats.org/officeDocument/2006/relationships/hyperlink" Target="https://en.wikipedia.org/wiki/Arkansas" TargetMode="External"/><Relationship Id="rId5303" Type="http://schemas.openxmlformats.org/officeDocument/2006/relationships/hyperlink" Target="https://en.wikipedia.org/wiki/Jones_County,_Texas" TargetMode="External"/><Relationship Id="rId355" Type="http://schemas.openxmlformats.org/officeDocument/2006/relationships/hyperlink" Target="https://en.wikipedia.org/wiki/Searcy_County,_Arkansas" TargetMode="External"/><Relationship Id="rId5304" Type="http://schemas.openxmlformats.org/officeDocument/2006/relationships/hyperlink" Target="https://en.wikipedia.org/wiki/Texas" TargetMode="External"/><Relationship Id="rId354" Type="http://schemas.openxmlformats.org/officeDocument/2006/relationships/hyperlink" Target="https://en.wikipedia.org/wiki/Arkansas" TargetMode="External"/><Relationship Id="rId5301" Type="http://schemas.openxmlformats.org/officeDocument/2006/relationships/hyperlink" Target="https://en.wikipedia.org/wiki/Johnson_County,_Texas" TargetMode="External"/><Relationship Id="rId353" Type="http://schemas.openxmlformats.org/officeDocument/2006/relationships/hyperlink" Target="https://en.wikipedia.org/wiki/Scott_County,_Arkansas" TargetMode="External"/><Relationship Id="rId5302" Type="http://schemas.openxmlformats.org/officeDocument/2006/relationships/hyperlink" Target="https://en.wikipedia.org/wiki/Texas" TargetMode="External"/><Relationship Id="rId305" Type="http://schemas.openxmlformats.org/officeDocument/2006/relationships/hyperlink" Target="https://en.wikipedia.org/wiki/Lincoln_County,_Arkansas" TargetMode="External"/><Relationship Id="rId304" Type="http://schemas.openxmlformats.org/officeDocument/2006/relationships/hyperlink" Target="https://en.wikipedia.org/wiki/Arkansas" TargetMode="External"/><Relationship Id="rId303" Type="http://schemas.openxmlformats.org/officeDocument/2006/relationships/hyperlink" Target="https://en.wikipedia.org/wiki/Lee_County,_Arkansas" TargetMode="External"/><Relationship Id="rId302" Type="http://schemas.openxmlformats.org/officeDocument/2006/relationships/hyperlink" Target="https://en.wikipedia.org/wiki/Arkansas" TargetMode="External"/><Relationship Id="rId309" Type="http://schemas.openxmlformats.org/officeDocument/2006/relationships/hyperlink" Target="https://en.wikipedia.org/wiki/Logan_County,_Arkansas" TargetMode="External"/><Relationship Id="rId308" Type="http://schemas.openxmlformats.org/officeDocument/2006/relationships/hyperlink" Target="https://en.wikipedia.org/wiki/Arkansas" TargetMode="External"/><Relationship Id="rId307" Type="http://schemas.openxmlformats.org/officeDocument/2006/relationships/hyperlink" Target="https://en.wikipedia.org/wiki/Little_River_County,_Arkansas" TargetMode="External"/><Relationship Id="rId306" Type="http://schemas.openxmlformats.org/officeDocument/2006/relationships/hyperlink" Target="https://en.wikipedia.org/wiki/Arkansas" TargetMode="External"/><Relationship Id="rId301" Type="http://schemas.openxmlformats.org/officeDocument/2006/relationships/hyperlink" Target="https://en.wikipedia.org/wiki/Lawrence_County,_Arkansas" TargetMode="External"/><Relationship Id="rId300" Type="http://schemas.openxmlformats.org/officeDocument/2006/relationships/hyperlink" Target="https://en.wikipedia.org/wiki/Arkansas" TargetMode="External"/><Relationship Id="rId327" Type="http://schemas.openxmlformats.org/officeDocument/2006/relationships/hyperlink" Target="https://en.wikipedia.org/wiki/Newton_County,_Arkansas" TargetMode="External"/><Relationship Id="rId326" Type="http://schemas.openxmlformats.org/officeDocument/2006/relationships/hyperlink" Target="https://en.wikipedia.org/wiki/Arkansas" TargetMode="External"/><Relationship Id="rId325" Type="http://schemas.openxmlformats.org/officeDocument/2006/relationships/hyperlink" Target="https://en.wikipedia.org/wiki/Nevada_County,_Arkansas" TargetMode="External"/><Relationship Id="rId324" Type="http://schemas.openxmlformats.org/officeDocument/2006/relationships/hyperlink" Target="https://en.wikipedia.org/wiki/Arkansas" TargetMode="External"/><Relationship Id="rId329" Type="http://schemas.openxmlformats.org/officeDocument/2006/relationships/hyperlink" Target="https://en.wikipedia.org/wiki/Ouachita_County,_Arkansas" TargetMode="External"/><Relationship Id="rId328" Type="http://schemas.openxmlformats.org/officeDocument/2006/relationships/hyperlink" Target="https://en.wikipedia.org/wiki/Arkansas" TargetMode="External"/><Relationship Id="rId323" Type="http://schemas.openxmlformats.org/officeDocument/2006/relationships/hyperlink" Target="https://en.wikipedia.org/wiki/Montgomery_County,_Arkansas" TargetMode="External"/><Relationship Id="rId322" Type="http://schemas.openxmlformats.org/officeDocument/2006/relationships/hyperlink" Target="https://en.wikipedia.org/wiki/Arkansas" TargetMode="External"/><Relationship Id="rId321" Type="http://schemas.openxmlformats.org/officeDocument/2006/relationships/hyperlink" Target="https://en.wikipedia.org/wiki/Monroe_County,_Arkansas" TargetMode="External"/><Relationship Id="rId320" Type="http://schemas.openxmlformats.org/officeDocument/2006/relationships/hyperlink" Target="https://en.wikipedia.org/wiki/Arkansas" TargetMode="External"/><Relationship Id="rId316" Type="http://schemas.openxmlformats.org/officeDocument/2006/relationships/hyperlink" Target="https://en.wikipedia.org/wiki/Arkansas" TargetMode="External"/><Relationship Id="rId315" Type="http://schemas.openxmlformats.org/officeDocument/2006/relationships/hyperlink" Target="https://en.wikipedia.org/wiki/Marion_County,_Arkansas" TargetMode="External"/><Relationship Id="rId314" Type="http://schemas.openxmlformats.org/officeDocument/2006/relationships/hyperlink" Target="https://en.wikipedia.org/wiki/Arkansas" TargetMode="External"/><Relationship Id="rId313" Type="http://schemas.openxmlformats.org/officeDocument/2006/relationships/hyperlink" Target="https://en.wikipedia.org/wiki/Madison_County,_Arkansas" TargetMode="External"/><Relationship Id="rId319" Type="http://schemas.openxmlformats.org/officeDocument/2006/relationships/hyperlink" Target="https://en.wikipedia.org/wiki/Mississippi_County,_Arkansas" TargetMode="External"/><Relationship Id="rId318" Type="http://schemas.openxmlformats.org/officeDocument/2006/relationships/hyperlink" Target="https://en.wikipedia.org/wiki/Arkansas" TargetMode="External"/><Relationship Id="rId317" Type="http://schemas.openxmlformats.org/officeDocument/2006/relationships/hyperlink" Target="https://en.wikipedia.org/wiki/Miller_County,_Arkansas" TargetMode="External"/><Relationship Id="rId312" Type="http://schemas.openxmlformats.org/officeDocument/2006/relationships/hyperlink" Target="https://en.wikipedia.org/wiki/Arkansas" TargetMode="External"/><Relationship Id="rId311" Type="http://schemas.openxmlformats.org/officeDocument/2006/relationships/hyperlink" Target="https://en.wikipedia.org/wiki/Lonoke_County,_Arkansas" TargetMode="External"/><Relationship Id="rId310" Type="http://schemas.openxmlformats.org/officeDocument/2006/relationships/hyperlink" Target="https://en.wikipedia.org/wiki/Arkansas" TargetMode="External"/><Relationship Id="rId4040" Type="http://schemas.openxmlformats.org/officeDocument/2006/relationships/hyperlink" Target="https://en.wikipedia.org/wiki/North_Dakota" TargetMode="External"/><Relationship Id="rId5372" Type="http://schemas.openxmlformats.org/officeDocument/2006/relationships/hyperlink" Target="https://en.wikipedia.org/wiki/Texas" TargetMode="External"/><Relationship Id="rId5373" Type="http://schemas.openxmlformats.org/officeDocument/2006/relationships/hyperlink" Target="https://en.wikipedia.org/wiki/Maverick_County,_Texas" TargetMode="External"/><Relationship Id="rId4042" Type="http://schemas.openxmlformats.org/officeDocument/2006/relationships/hyperlink" Target="https://en.wikipedia.org/wiki/North_Dakota" TargetMode="External"/><Relationship Id="rId5370" Type="http://schemas.openxmlformats.org/officeDocument/2006/relationships/hyperlink" Target="https://en.wikipedia.org/wiki/Texas" TargetMode="External"/><Relationship Id="rId4041" Type="http://schemas.openxmlformats.org/officeDocument/2006/relationships/hyperlink" Target="https://en.wikipedia.org/wiki/Mercer_County,_North_Dakota" TargetMode="External"/><Relationship Id="rId5371" Type="http://schemas.openxmlformats.org/officeDocument/2006/relationships/hyperlink" Target="https://en.wikipedia.org/wiki/Matagorda_County,_Texas" TargetMode="External"/><Relationship Id="rId4044" Type="http://schemas.openxmlformats.org/officeDocument/2006/relationships/hyperlink" Target="https://en.wikipedia.org/wiki/North_Dakota" TargetMode="External"/><Relationship Id="rId5376" Type="http://schemas.openxmlformats.org/officeDocument/2006/relationships/hyperlink" Target="https://en.wikipedia.org/wiki/Texas" TargetMode="External"/><Relationship Id="rId4043" Type="http://schemas.openxmlformats.org/officeDocument/2006/relationships/hyperlink" Target="https://en.wikipedia.org/wiki/Morton_County,_North_Dakota" TargetMode="External"/><Relationship Id="rId5377" Type="http://schemas.openxmlformats.org/officeDocument/2006/relationships/hyperlink" Target="https://en.wikipedia.org/wiki/Menard_County,_Texas" TargetMode="External"/><Relationship Id="rId4046" Type="http://schemas.openxmlformats.org/officeDocument/2006/relationships/hyperlink" Target="https://en.wikipedia.org/wiki/North_Dakota" TargetMode="External"/><Relationship Id="rId5374" Type="http://schemas.openxmlformats.org/officeDocument/2006/relationships/hyperlink" Target="https://en.wikipedia.org/wiki/Texas" TargetMode="External"/><Relationship Id="rId4045" Type="http://schemas.openxmlformats.org/officeDocument/2006/relationships/hyperlink" Target="https://en.wikipedia.org/wiki/Mountrail_County,_North_Dakota" TargetMode="External"/><Relationship Id="rId5375" Type="http://schemas.openxmlformats.org/officeDocument/2006/relationships/hyperlink" Target="https://en.wikipedia.org/wiki/Medina_County,_Texas" TargetMode="External"/><Relationship Id="rId4048" Type="http://schemas.openxmlformats.org/officeDocument/2006/relationships/hyperlink" Target="https://en.wikipedia.org/wiki/North_Dakota" TargetMode="External"/><Relationship Id="rId4047" Type="http://schemas.openxmlformats.org/officeDocument/2006/relationships/hyperlink" Target="https://en.wikipedia.org/wiki/Nelson_County,_North_Dakota" TargetMode="External"/><Relationship Id="rId5378" Type="http://schemas.openxmlformats.org/officeDocument/2006/relationships/hyperlink" Target="https://en.wikipedia.org/wiki/Texas" TargetMode="External"/><Relationship Id="rId4049" Type="http://schemas.openxmlformats.org/officeDocument/2006/relationships/hyperlink" Target="https://en.wikipedia.org/wiki/Oliver_County,_North_Dakota" TargetMode="External"/><Relationship Id="rId5379" Type="http://schemas.openxmlformats.org/officeDocument/2006/relationships/hyperlink" Target="https://en.wikipedia.org/wiki/Midland_County,_Texas" TargetMode="External"/><Relationship Id="rId5361" Type="http://schemas.openxmlformats.org/officeDocument/2006/relationships/hyperlink" Target="https://en.wikipedia.org/wiki/McMullen_County,_Texas" TargetMode="External"/><Relationship Id="rId5362" Type="http://schemas.openxmlformats.org/officeDocument/2006/relationships/hyperlink" Target="https://en.wikipedia.org/wiki/Texas" TargetMode="External"/><Relationship Id="rId4031" Type="http://schemas.openxmlformats.org/officeDocument/2006/relationships/hyperlink" Target="https://en.wikipedia.org/wiki/Logan_County,_North_Dakota" TargetMode="External"/><Relationship Id="rId4030" Type="http://schemas.openxmlformats.org/officeDocument/2006/relationships/hyperlink" Target="https://en.wikipedia.org/wiki/North_Dakota" TargetMode="External"/><Relationship Id="rId5360" Type="http://schemas.openxmlformats.org/officeDocument/2006/relationships/hyperlink" Target="https://en.wikipedia.org/wiki/Texas" TargetMode="External"/><Relationship Id="rId297" Type="http://schemas.openxmlformats.org/officeDocument/2006/relationships/hyperlink" Target="https://en.wikipedia.org/wiki/Johnson_County,_Arkansas" TargetMode="External"/><Relationship Id="rId4033" Type="http://schemas.openxmlformats.org/officeDocument/2006/relationships/hyperlink" Target="https://en.wikipedia.org/wiki/McHenry_County,_North_Dakota" TargetMode="External"/><Relationship Id="rId5365" Type="http://schemas.openxmlformats.org/officeDocument/2006/relationships/hyperlink" Target="https://en.wikipedia.org/wiki/Marion_County,_Texas" TargetMode="External"/><Relationship Id="rId296" Type="http://schemas.openxmlformats.org/officeDocument/2006/relationships/hyperlink" Target="https://en.wikipedia.org/wiki/Arkansas" TargetMode="External"/><Relationship Id="rId4032" Type="http://schemas.openxmlformats.org/officeDocument/2006/relationships/hyperlink" Target="https://en.wikipedia.org/wiki/North_Dakota" TargetMode="External"/><Relationship Id="rId5366" Type="http://schemas.openxmlformats.org/officeDocument/2006/relationships/hyperlink" Target="https://en.wikipedia.org/wiki/Texas" TargetMode="External"/><Relationship Id="rId295" Type="http://schemas.openxmlformats.org/officeDocument/2006/relationships/hyperlink" Target="https://en.wikipedia.org/wiki/Jefferson_County,_Arkansas" TargetMode="External"/><Relationship Id="rId4035" Type="http://schemas.openxmlformats.org/officeDocument/2006/relationships/hyperlink" Target="https://en.wikipedia.org/wiki/McIntosh_County,_North_Dakota" TargetMode="External"/><Relationship Id="rId5363" Type="http://schemas.openxmlformats.org/officeDocument/2006/relationships/hyperlink" Target="https://en.wikipedia.org/wiki/Madison_County,_Texas" TargetMode="External"/><Relationship Id="rId294" Type="http://schemas.openxmlformats.org/officeDocument/2006/relationships/hyperlink" Target="https://en.wikipedia.org/wiki/Arkansas" TargetMode="External"/><Relationship Id="rId4034" Type="http://schemas.openxmlformats.org/officeDocument/2006/relationships/hyperlink" Target="https://en.wikipedia.org/wiki/North_Dakota" TargetMode="External"/><Relationship Id="rId5364" Type="http://schemas.openxmlformats.org/officeDocument/2006/relationships/hyperlink" Target="https://en.wikipedia.org/wiki/Texas" TargetMode="External"/><Relationship Id="rId4037" Type="http://schemas.openxmlformats.org/officeDocument/2006/relationships/hyperlink" Target="https://en.wikipedia.org/wiki/McKenzie_County,_North_Dakota" TargetMode="External"/><Relationship Id="rId5369" Type="http://schemas.openxmlformats.org/officeDocument/2006/relationships/hyperlink" Target="https://en.wikipedia.org/wiki/Mason_County,_Texas" TargetMode="External"/><Relationship Id="rId4036" Type="http://schemas.openxmlformats.org/officeDocument/2006/relationships/hyperlink" Target="https://en.wikipedia.org/wiki/North_Dakota" TargetMode="External"/><Relationship Id="rId299" Type="http://schemas.openxmlformats.org/officeDocument/2006/relationships/hyperlink" Target="https://en.wikipedia.org/wiki/Lafayette_County,_Arkansas" TargetMode="External"/><Relationship Id="rId4039" Type="http://schemas.openxmlformats.org/officeDocument/2006/relationships/hyperlink" Target="https://en.wikipedia.org/wiki/McLean_County,_North_Dakota" TargetMode="External"/><Relationship Id="rId5367" Type="http://schemas.openxmlformats.org/officeDocument/2006/relationships/hyperlink" Target="https://en.wikipedia.org/wiki/Martin_County,_Texas" TargetMode="External"/><Relationship Id="rId298" Type="http://schemas.openxmlformats.org/officeDocument/2006/relationships/hyperlink" Target="https://en.wikipedia.org/wiki/Arkansas" TargetMode="External"/><Relationship Id="rId4038" Type="http://schemas.openxmlformats.org/officeDocument/2006/relationships/hyperlink" Target="https://en.wikipedia.org/wiki/North_Dakota" TargetMode="External"/><Relationship Id="rId5368" Type="http://schemas.openxmlformats.org/officeDocument/2006/relationships/hyperlink" Target="https://en.wikipedia.org/wiki/Texas" TargetMode="External"/><Relationship Id="rId5390" Type="http://schemas.openxmlformats.org/officeDocument/2006/relationships/hyperlink" Target="https://en.wikipedia.org/wiki/Texas" TargetMode="External"/><Relationship Id="rId5391" Type="http://schemas.openxmlformats.org/officeDocument/2006/relationships/hyperlink" Target="https://en.wikipedia.org/wiki/Moore_County,_Texas" TargetMode="External"/><Relationship Id="rId4060" Type="http://schemas.openxmlformats.org/officeDocument/2006/relationships/hyperlink" Target="https://en.wikipedia.org/wiki/North_Dakota" TargetMode="External"/><Relationship Id="rId4062" Type="http://schemas.openxmlformats.org/officeDocument/2006/relationships/hyperlink" Target="https://en.wikipedia.org/wiki/North_Dakota" TargetMode="External"/><Relationship Id="rId5394" Type="http://schemas.openxmlformats.org/officeDocument/2006/relationships/hyperlink" Target="https://en.wikipedia.org/wiki/Texas" TargetMode="External"/><Relationship Id="rId4061" Type="http://schemas.openxmlformats.org/officeDocument/2006/relationships/hyperlink" Target="https://en.wikipedia.org/wiki/Richland_County,_North_Dakota" TargetMode="External"/><Relationship Id="rId5395" Type="http://schemas.openxmlformats.org/officeDocument/2006/relationships/hyperlink" Target="https://en.wikipedia.org/wiki/Motley_County,_Texas" TargetMode="External"/><Relationship Id="rId4064" Type="http://schemas.openxmlformats.org/officeDocument/2006/relationships/hyperlink" Target="https://en.wikipedia.org/wiki/North_Dakota" TargetMode="External"/><Relationship Id="rId5392" Type="http://schemas.openxmlformats.org/officeDocument/2006/relationships/hyperlink" Target="https://en.wikipedia.org/wiki/Texas" TargetMode="External"/><Relationship Id="rId4063" Type="http://schemas.openxmlformats.org/officeDocument/2006/relationships/hyperlink" Target="https://en.wikipedia.org/wiki/Rolette_County,_North_Dakota" TargetMode="External"/><Relationship Id="rId5393" Type="http://schemas.openxmlformats.org/officeDocument/2006/relationships/hyperlink" Target="https://en.wikipedia.org/wiki/Morris_County,_Texas" TargetMode="External"/><Relationship Id="rId4066" Type="http://schemas.openxmlformats.org/officeDocument/2006/relationships/hyperlink" Target="https://en.wikipedia.org/wiki/North_Dakota" TargetMode="External"/><Relationship Id="rId5398" Type="http://schemas.openxmlformats.org/officeDocument/2006/relationships/hyperlink" Target="https://en.wikipedia.org/wiki/Texas" TargetMode="External"/><Relationship Id="rId4065" Type="http://schemas.openxmlformats.org/officeDocument/2006/relationships/hyperlink" Target="https://en.wikipedia.org/wiki/Sargent_County,_North_Dakota" TargetMode="External"/><Relationship Id="rId5399" Type="http://schemas.openxmlformats.org/officeDocument/2006/relationships/hyperlink" Target="https://en.wikipedia.org/wiki/Navarro_County,_Texas" TargetMode="External"/><Relationship Id="rId4068" Type="http://schemas.openxmlformats.org/officeDocument/2006/relationships/hyperlink" Target="https://en.wikipedia.org/wiki/North_Dakota" TargetMode="External"/><Relationship Id="rId5396" Type="http://schemas.openxmlformats.org/officeDocument/2006/relationships/hyperlink" Target="https://en.wikipedia.org/wiki/Texas" TargetMode="External"/><Relationship Id="rId4067" Type="http://schemas.openxmlformats.org/officeDocument/2006/relationships/hyperlink" Target="https://en.wikipedia.org/wiki/Sheridan_County,_North_Dakota" TargetMode="External"/><Relationship Id="rId5397" Type="http://schemas.openxmlformats.org/officeDocument/2006/relationships/hyperlink" Target="https://en.wikipedia.org/wiki/Nacogdoches_County,_Texas" TargetMode="External"/><Relationship Id="rId4069" Type="http://schemas.openxmlformats.org/officeDocument/2006/relationships/hyperlink" Target="https://en.wikipedia.org/wiki/Sioux_County,_North_Dakota" TargetMode="External"/><Relationship Id="rId5380" Type="http://schemas.openxmlformats.org/officeDocument/2006/relationships/hyperlink" Target="https://en.wikipedia.org/wiki/Texas" TargetMode="External"/><Relationship Id="rId4051" Type="http://schemas.openxmlformats.org/officeDocument/2006/relationships/hyperlink" Target="https://en.wikipedia.org/wiki/Pembina_County,_North_Dakota" TargetMode="External"/><Relationship Id="rId5383" Type="http://schemas.openxmlformats.org/officeDocument/2006/relationships/hyperlink" Target="https://en.wikipedia.org/wiki/Mills_County,_Texas" TargetMode="External"/><Relationship Id="rId4050" Type="http://schemas.openxmlformats.org/officeDocument/2006/relationships/hyperlink" Target="https://en.wikipedia.org/wiki/North_Dakota" TargetMode="External"/><Relationship Id="rId5384" Type="http://schemas.openxmlformats.org/officeDocument/2006/relationships/hyperlink" Target="https://en.wikipedia.org/wiki/Texas" TargetMode="External"/><Relationship Id="rId4053" Type="http://schemas.openxmlformats.org/officeDocument/2006/relationships/hyperlink" Target="https://en.wikipedia.org/wiki/Pierce_County,_North_Dakota" TargetMode="External"/><Relationship Id="rId5381" Type="http://schemas.openxmlformats.org/officeDocument/2006/relationships/hyperlink" Target="https://en.wikipedia.org/wiki/Milam_County,_Texas" TargetMode="External"/><Relationship Id="rId4052" Type="http://schemas.openxmlformats.org/officeDocument/2006/relationships/hyperlink" Target="https://en.wikipedia.org/wiki/North_Dakota" TargetMode="External"/><Relationship Id="rId5382" Type="http://schemas.openxmlformats.org/officeDocument/2006/relationships/hyperlink" Target="https://en.wikipedia.org/wiki/Texas" TargetMode="External"/><Relationship Id="rId4055" Type="http://schemas.openxmlformats.org/officeDocument/2006/relationships/hyperlink" Target="https://en.wikipedia.org/wiki/Ramsey_County,_North_Dakota" TargetMode="External"/><Relationship Id="rId5387" Type="http://schemas.openxmlformats.org/officeDocument/2006/relationships/hyperlink" Target="https://en.wikipedia.org/wiki/Montague_County,_Texas" TargetMode="External"/><Relationship Id="rId4054" Type="http://schemas.openxmlformats.org/officeDocument/2006/relationships/hyperlink" Target="https://en.wikipedia.org/wiki/North_Dakota" TargetMode="External"/><Relationship Id="rId5388" Type="http://schemas.openxmlformats.org/officeDocument/2006/relationships/hyperlink" Target="https://en.wikipedia.org/wiki/Texas" TargetMode="External"/><Relationship Id="rId4057" Type="http://schemas.openxmlformats.org/officeDocument/2006/relationships/hyperlink" Target="https://en.wikipedia.org/wiki/Ransom_County,_North_Dakota" TargetMode="External"/><Relationship Id="rId5385" Type="http://schemas.openxmlformats.org/officeDocument/2006/relationships/hyperlink" Target="https://en.wikipedia.org/wiki/Mitchell_County,_Texas" TargetMode="External"/><Relationship Id="rId4056" Type="http://schemas.openxmlformats.org/officeDocument/2006/relationships/hyperlink" Target="https://en.wikipedia.org/wiki/North_Dakota" TargetMode="External"/><Relationship Id="rId5386" Type="http://schemas.openxmlformats.org/officeDocument/2006/relationships/hyperlink" Target="https://en.wikipedia.org/wiki/Texas" TargetMode="External"/><Relationship Id="rId4059" Type="http://schemas.openxmlformats.org/officeDocument/2006/relationships/hyperlink" Target="https://en.wikipedia.org/wiki/Renville_County,_North_Dakota" TargetMode="External"/><Relationship Id="rId4058" Type="http://schemas.openxmlformats.org/officeDocument/2006/relationships/hyperlink" Target="https://en.wikipedia.org/wiki/North_Dakota" TargetMode="External"/><Relationship Id="rId5389" Type="http://schemas.openxmlformats.org/officeDocument/2006/relationships/hyperlink" Target="https://en.wikipedia.org/wiki/Montgomery_County,_Texas" TargetMode="External"/><Relationship Id="rId4008" Type="http://schemas.openxmlformats.org/officeDocument/2006/relationships/hyperlink" Target="https://en.wikipedia.org/wiki/North_Dakota" TargetMode="External"/><Relationship Id="rId4007" Type="http://schemas.openxmlformats.org/officeDocument/2006/relationships/hyperlink" Target="https://en.wikipedia.org/wiki/Divide_County,_North_Dakota" TargetMode="External"/><Relationship Id="rId5338" Type="http://schemas.openxmlformats.org/officeDocument/2006/relationships/hyperlink" Target="https://en.wikipedia.org/wiki/Texas" TargetMode="External"/><Relationship Id="rId4009" Type="http://schemas.openxmlformats.org/officeDocument/2006/relationships/hyperlink" Target="https://en.wikipedia.org/wiki/Dunn_County,_North_Dakota" TargetMode="External"/><Relationship Id="rId5339" Type="http://schemas.openxmlformats.org/officeDocument/2006/relationships/hyperlink" Target="https://en.wikipedia.org/wiki/Leon_County,_Texas" TargetMode="External"/><Relationship Id="rId271" Type="http://schemas.openxmlformats.org/officeDocument/2006/relationships/hyperlink" Target="https://en.wikipedia.org/wiki/Faulkner_County,_Arkansas" TargetMode="External"/><Relationship Id="rId270" Type="http://schemas.openxmlformats.org/officeDocument/2006/relationships/hyperlink" Target="https://en.wikipedia.org/wiki/Arkansas" TargetMode="External"/><Relationship Id="rId269" Type="http://schemas.openxmlformats.org/officeDocument/2006/relationships/hyperlink" Target="https://en.wikipedia.org/wiki/Drew_County,_Arkansas" TargetMode="External"/><Relationship Id="rId264" Type="http://schemas.openxmlformats.org/officeDocument/2006/relationships/hyperlink" Target="https://en.wikipedia.org/wiki/Arkansas" TargetMode="External"/><Relationship Id="rId4000" Type="http://schemas.openxmlformats.org/officeDocument/2006/relationships/hyperlink" Target="https://en.wikipedia.org/wiki/North_Dakota" TargetMode="External"/><Relationship Id="rId5332" Type="http://schemas.openxmlformats.org/officeDocument/2006/relationships/hyperlink" Target="https://en.wikipedia.org/wiki/Texas" TargetMode="External"/><Relationship Id="rId263" Type="http://schemas.openxmlformats.org/officeDocument/2006/relationships/hyperlink" Target="https://en.wikipedia.org/wiki/Cross_County,_Arkansas" TargetMode="External"/><Relationship Id="rId5333" Type="http://schemas.openxmlformats.org/officeDocument/2006/relationships/hyperlink" Target="https://en.wikipedia.org/wiki/La_Salle_County,_Texas" TargetMode="External"/><Relationship Id="rId262" Type="http://schemas.openxmlformats.org/officeDocument/2006/relationships/hyperlink" Target="https://en.wikipedia.org/wiki/Arkansas" TargetMode="External"/><Relationship Id="rId4002" Type="http://schemas.openxmlformats.org/officeDocument/2006/relationships/hyperlink" Target="https://en.wikipedia.org/wiki/North_Dakota" TargetMode="External"/><Relationship Id="rId5330" Type="http://schemas.openxmlformats.org/officeDocument/2006/relationships/hyperlink" Target="https://en.wikipedia.org/wiki/Texas" TargetMode="External"/><Relationship Id="rId261" Type="http://schemas.openxmlformats.org/officeDocument/2006/relationships/hyperlink" Target="https://en.wikipedia.org/wiki/Crittenden_County,_Arkansas" TargetMode="External"/><Relationship Id="rId4001" Type="http://schemas.openxmlformats.org/officeDocument/2006/relationships/hyperlink" Target="https://en.wikipedia.org/wiki/Cass_County,_North_Dakota" TargetMode="External"/><Relationship Id="rId5331" Type="http://schemas.openxmlformats.org/officeDocument/2006/relationships/hyperlink" Target="https://en.wikipedia.org/wiki/Lampasas_County,_Texas" TargetMode="External"/><Relationship Id="rId268" Type="http://schemas.openxmlformats.org/officeDocument/2006/relationships/hyperlink" Target="https://en.wikipedia.org/wiki/Arkansas" TargetMode="External"/><Relationship Id="rId4004" Type="http://schemas.openxmlformats.org/officeDocument/2006/relationships/hyperlink" Target="https://en.wikipedia.org/wiki/North_Dakota" TargetMode="External"/><Relationship Id="rId5336" Type="http://schemas.openxmlformats.org/officeDocument/2006/relationships/hyperlink" Target="https://en.wikipedia.org/wiki/Texas" TargetMode="External"/><Relationship Id="rId267" Type="http://schemas.openxmlformats.org/officeDocument/2006/relationships/hyperlink" Target="https://en.wikipedia.org/wiki/Desha_County,_Arkansas" TargetMode="External"/><Relationship Id="rId4003" Type="http://schemas.openxmlformats.org/officeDocument/2006/relationships/hyperlink" Target="https://en.wikipedia.org/wiki/Cavalier_County,_North_Dakota" TargetMode="External"/><Relationship Id="rId5337" Type="http://schemas.openxmlformats.org/officeDocument/2006/relationships/hyperlink" Target="https://en.wikipedia.org/wiki/Lee_County,_Texas" TargetMode="External"/><Relationship Id="rId266" Type="http://schemas.openxmlformats.org/officeDocument/2006/relationships/hyperlink" Target="https://en.wikipedia.org/wiki/Arkansas" TargetMode="External"/><Relationship Id="rId4006" Type="http://schemas.openxmlformats.org/officeDocument/2006/relationships/hyperlink" Target="https://en.wikipedia.org/wiki/North_Dakota" TargetMode="External"/><Relationship Id="rId5334" Type="http://schemas.openxmlformats.org/officeDocument/2006/relationships/hyperlink" Target="https://en.wikipedia.org/wiki/Texas" TargetMode="External"/><Relationship Id="rId265" Type="http://schemas.openxmlformats.org/officeDocument/2006/relationships/hyperlink" Target="https://en.wikipedia.org/wiki/Dallas_County,_Arkansas" TargetMode="External"/><Relationship Id="rId4005" Type="http://schemas.openxmlformats.org/officeDocument/2006/relationships/hyperlink" Target="https://en.wikipedia.org/wiki/Dickey_County,_North_Dakota" TargetMode="External"/><Relationship Id="rId5335" Type="http://schemas.openxmlformats.org/officeDocument/2006/relationships/hyperlink" Target="https://en.wikipedia.org/wiki/Lavaca_County,_Texas" TargetMode="External"/><Relationship Id="rId5329" Type="http://schemas.openxmlformats.org/officeDocument/2006/relationships/hyperlink" Target="https://en.wikipedia.org/wiki/Lamb_County,_Texas" TargetMode="External"/><Relationship Id="rId5327" Type="http://schemas.openxmlformats.org/officeDocument/2006/relationships/hyperlink" Target="https://en.wikipedia.org/wiki/Lamar_County,_Texas" TargetMode="External"/><Relationship Id="rId5328" Type="http://schemas.openxmlformats.org/officeDocument/2006/relationships/hyperlink" Target="https://en.wikipedia.org/wiki/Texas" TargetMode="External"/><Relationship Id="rId260" Type="http://schemas.openxmlformats.org/officeDocument/2006/relationships/hyperlink" Target="https://en.wikipedia.org/wiki/Arkansas" TargetMode="External"/><Relationship Id="rId259" Type="http://schemas.openxmlformats.org/officeDocument/2006/relationships/hyperlink" Target="https://en.wikipedia.org/wiki/Crawford_County,_Arkansas" TargetMode="External"/><Relationship Id="rId258" Type="http://schemas.openxmlformats.org/officeDocument/2006/relationships/hyperlink" Target="https://en.wikipedia.org/wiki/Arkansas" TargetMode="External"/><Relationship Id="rId253" Type="http://schemas.openxmlformats.org/officeDocument/2006/relationships/hyperlink" Target="https://en.wikipedia.org/wiki/Columbia_County,_Arkansas" TargetMode="External"/><Relationship Id="rId5321" Type="http://schemas.openxmlformats.org/officeDocument/2006/relationships/hyperlink" Target="https://en.wikipedia.org/wiki/Kinney_County,_Texas" TargetMode="External"/><Relationship Id="rId252" Type="http://schemas.openxmlformats.org/officeDocument/2006/relationships/hyperlink" Target="https://en.wikipedia.org/wiki/Arkansas" TargetMode="External"/><Relationship Id="rId5322" Type="http://schemas.openxmlformats.org/officeDocument/2006/relationships/hyperlink" Target="https://en.wikipedia.org/wiki/Texas" TargetMode="External"/><Relationship Id="rId251" Type="http://schemas.openxmlformats.org/officeDocument/2006/relationships/hyperlink" Target="https://en.wikipedia.org/wiki/Cleveland_County,_Arkansas" TargetMode="External"/><Relationship Id="rId250" Type="http://schemas.openxmlformats.org/officeDocument/2006/relationships/hyperlink" Target="https://en.wikipedia.org/wiki/Arkansas" TargetMode="External"/><Relationship Id="rId5320" Type="http://schemas.openxmlformats.org/officeDocument/2006/relationships/hyperlink" Target="https://en.wikipedia.org/wiki/Texas" TargetMode="External"/><Relationship Id="rId257" Type="http://schemas.openxmlformats.org/officeDocument/2006/relationships/hyperlink" Target="https://en.wikipedia.org/wiki/Craighead_County,_Arkansas" TargetMode="External"/><Relationship Id="rId5325" Type="http://schemas.openxmlformats.org/officeDocument/2006/relationships/hyperlink" Target="https://en.wikipedia.org/wiki/Knox_County,_Texas" TargetMode="External"/><Relationship Id="rId256" Type="http://schemas.openxmlformats.org/officeDocument/2006/relationships/hyperlink" Target="https://en.wikipedia.org/wiki/Arkansas" TargetMode="External"/><Relationship Id="rId5326" Type="http://schemas.openxmlformats.org/officeDocument/2006/relationships/hyperlink" Target="https://en.wikipedia.org/wiki/Texas" TargetMode="External"/><Relationship Id="rId255" Type="http://schemas.openxmlformats.org/officeDocument/2006/relationships/hyperlink" Target="https://en.wikipedia.org/wiki/Conway_County,_Arkansas" TargetMode="External"/><Relationship Id="rId5323" Type="http://schemas.openxmlformats.org/officeDocument/2006/relationships/hyperlink" Target="https://en.wikipedia.org/wiki/Kleberg_County,_Texas" TargetMode="External"/><Relationship Id="rId254" Type="http://schemas.openxmlformats.org/officeDocument/2006/relationships/hyperlink" Target="https://en.wikipedia.org/wiki/Arkansas" TargetMode="External"/><Relationship Id="rId5324" Type="http://schemas.openxmlformats.org/officeDocument/2006/relationships/hyperlink" Target="https://en.wikipedia.org/wiki/Texas" TargetMode="External"/><Relationship Id="rId4029" Type="http://schemas.openxmlformats.org/officeDocument/2006/relationships/hyperlink" Target="https://en.wikipedia.org/wiki/LaMoure_County,_North_Dakota" TargetMode="External"/><Relationship Id="rId293" Type="http://schemas.openxmlformats.org/officeDocument/2006/relationships/hyperlink" Target="https://en.wikipedia.org/wiki/Jackson_County,_Arkansas" TargetMode="External"/><Relationship Id="rId292" Type="http://schemas.openxmlformats.org/officeDocument/2006/relationships/hyperlink" Target="https://en.wikipedia.org/wiki/Arkansas" TargetMode="External"/><Relationship Id="rId291" Type="http://schemas.openxmlformats.org/officeDocument/2006/relationships/hyperlink" Target="https://en.wikipedia.org/wiki/Izard_County,_Arkansas" TargetMode="External"/><Relationship Id="rId290" Type="http://schemas.openxmlformats.org/officeDocument/2006/relationships/hyperlink" Target="https://en.wikipedia.org/wiki/Arkansas" TargetMode="External"/><Relationship Id="rId5350" Type="http://schemas.openxmlformats.org/officeDocument/2006/relationships/hyperlink" Target="https://en.wikipedia.org/wiki/Texas" TargetMode="External"/><Relationship Id="rId5351" Type="http://schemas.openxmlformats.org/officeDocument/2006/relationships/hyperlink" Target="https://en.wikipedia.org/wiki/Loving_County,_Texas" TargetMode="External"/><Relationship Id="rId4020" Type="http://schemas.openxmlformats.org/officeDocument/2006/relationships/hyperlink" Target="https://en.wikipedia.org/wiki/North_Dakota" TargetMode="External"/><Relationship Id="rId286" Type="http://schemas.openxmlformats.org/officeDocument/2006/relationships/hyperlink" Target="https://en.wikipedia.org/wiki/Arkansas" TargetMode="External"/><Relationship Id="rId4022" Type="http://schemas.openxmlformats.org/officeDocument/2006/relationships/hyperlink" Target="https://en.wikipedia.org/wiki/North_Dakota" TargetMode="External"/><Relationship Id="rId5354" Type="http://schemas.openxmlformats.org/officeDocument/2006/relationships/hyperlink" Target="https://en.wikipedia.org/wiki/Texas" TargetMode="External"/><Relationship Id="rId285" Type="http://schemas.openxmlformats.org/officeDocument/2006/relationships/hyperlink" Target="https://en.wikipedia.org/wiki/Hot_Spring_County,_Arkansas" TargetMode="External"/><Relationship Id="rId4021" Type="http://schemas.openxmlformats.org/officeDocument/2006/relationships/hyperlink" Target="https://en.wikipedia.org/wiki/Grant_County,_North_Dakota" TargetMode="External"/><Relationship Id="rId5355" Type="http://schemas.openxmlformats.org/officeDocument/2006/relationships/hyperlink" Target="https://en.wikipedia.org/wiki/Lynn_County,_Texas" TargetMode="External"/><Relationship Id="rId284" Type="http://schemas.openxmlformats.org/officeDocument/2006/relationships/hyperlink" Target="https://en.wikipedia.org/wiki/Arkansas" TargetMode="External"/><Relationship Id="rId4024" Type="http://schemas.openxmlformats.org/officeDocument/2006/relationships/hyperlink" Target="https://en.wikipedia.org/wiki/North_Dakota" TargetMode="External"/><Relationship Id="rId5352" Type="http://schemas.openxmlformats.org/officeDocument/2006/relationships/hyperlink" Target="https://en.wikipedia.org/wiki/Texas" TargetMode="External"/><Relationship Id="rId283" Type="http://schemas.openxmlformats.org/officeDocument/2006/relationships/hyperlink" Target="https://en.wikipedia.org/wiki/Hempstead_County,_Arkansas" TargetMode="External"/><Relationship Id="rId4023" Type="http://schemas.openxmlformats.org/officeDocument/2006/relationships/hyperlink" Target="https://en.wikipedia.org/wiki/Griggs_County,_North_Dakota" TargetMode="External"/><Relationship Id="rId5353" Type="http://schemas.openxmlformats.org/officeDocument/2006/relationships/hyperlink" Target="https://en.wikipedia.org/wiki/Lubbock_County,_Texas" TargetMode="External"/><Relationship Id="rId4026" Type="http://schemas.openxmlformats.org/officeDocument/2006/relationships/hyperlink" Target="https://en.wikipedia.org/wiki/North_Dakota" TargetMode="External"/><Relationship Id="rId5358" Type="http://schemas.openxmlformats.org/officeDocument/2006/relationships/hyperlink" Target="https://en.wikipedia.org/wiki/Texas" TargetMode="External"/><Relationship Id="rId289" Type="http://schemas.openxmlformats.org/officeDocument/2006/relationships/hyperlink" Target="https://en.wikipedia.org/wiki/Independence_County,_Arkansas" TargetMode="External"/><Relationship Id="rId4025" Type="http://schemas.openxmlformats.org/officeDocument/2006/relationships/hyperlink" Target="https://en.wikipedia.org/wiki/Hettinger_County,_North_Dakota" TargetMode="External"/><Relationship Id="rId5359" Type="http://schemas.openxmlformats.org/officeDocument/2006/relationships/hyperlink" Target="https://en.wikipedia.org/wiki/McLennan_County,_Texas" TargetMode="External"/><Relationship Id="rId288" Type="http://schemas.openxmlformats.org/officeDocument/2006/relationships/hyperlink" Target="https://en.wikipedia.org/wiki/Arkansas" TargetMode="External"/><Relationship Id="rId4028" Type="http://schemas.openxmlformats.org/officeDocument/2006/relationships/hyperlink" Target="https://en.wikipedia.org/wiki/North_Dakota" TargetMode="External"/><Relationship Id="rId5356" Type="http://schemas.openxmlformats.org/officeDocument/2006/relationships/hyperlink" Target="https://en.wikipedia.org/wiki/Texas" TargetMode="External"/><Relationship Id="rId287" Type="http://schemas.openxmlformats.org/officeDocument/2006/relationships/hyperlink" Target="https://en.wikipedia.org/wiki/Howard_County,_Arkansas" TargetMode="External"/><Relationship Id="rId4027" Type="http://schemas.openxmlformats.org/officeDocument/2006/relationships/hyperlink" Target="https://en.wikipedia.org/wiki/Kidder_County,_North_Dakota" TargetMode="External"/><Relationship Id="rId5357" Type="http://schemas.openxmlformats.org/officeDocument/2006/relationships/hyperlink" Target="https://en.wikipedia.org/wiki/McCulloch_County,_Texas" TargetMode="External"/><Relationship Id="rId4019" Type="http://schemas.openxmlformats.org/officeDocument/2006/relationships/hyperlink" Target="https://en.wikipedia.org/wiki/Grand_Forks_County,_North_Dakota" TargetMode="External"/><Relationship Id="rId4018" Type="http://schemas.openxmlformats.org/officeDocument/2006/relationships/hyperlink" Target="https://en.wikipedia.org/wiki/North_Dakota" TargetMode="External"/><Relationship Id="rId5349" Type="http://schemas.openxmlformats.org/officeDocument/2006/relationships/hyperlink" Target="https://en.wikipedia.org/wiki/Llano_County,_Texas" TargetMode="External"/><Relationship Id="rId282" Type="http://schemas.openxmlformats.org/officeDocument/2006/relationships/hyperlink" Target="https://en.wikipedia.org/wiki/Arkansas" TargetMode="External"/><Relationship Id="rId281" Type="http://schemas.openxmlformats.org/officeDocument/2006/relationships/hyperlink" Target="https://en.wikipedia.org/wiki/Greene_County,_Arkansas" TargetMode="External"/><Relationship Id="rId280" Type="http://schemas.openxmlformats.org/officeDocument/2006/relationships/hyperlink" Target="https://en.wikipedia.org/wiki/Arkansas" TargetMode="External"/><Relationship Id="rId5340" Type="http://schemas.openxmlformats.org/officeDocument/2006/relationships/hyperlink" Target="https://en.wikipedia.org/wiki/Texas" TargetMode="External"/><Relationship Id="rId275" Type="http://schemas.openxmlformats.org/officeDocument/2006/relationships/hyperlink" Target="https://en.wikipedia.org/wiki/Fulton_County,_Arkansas" TargetMode="External"/><Relationship Id="rId4011" Type="http://schemas.openxmlformats.org/officeDocument/2006/relationships/hyperlink" Target="https://en.wikipedia.org/wiki/Eddy_County,_North_Dakota" TargetMode="External"/><Relationship Id="rId5343" Type="http://schemas.openxmlformats.org/officeDocument/2006/relationships/hyperlink" Target="https://en.wikipedia.org/wiki/Limestone_County,_Texas" TargetMode="External"/><Relationship Id="rId274" Type="http://schemas.openxmlformats.org/officeDocument/2006/relationships/hyperlink" Target="https://en.wikipedia.org/wiki/Arkansas" TargetMode="External"/><Relationship Id="rId4010" Type="http://schemas.openxmlformats.org/officeDocument/2006/relationships/hyperlink" Target="https://en.wikipedia.org/wiki/North_Dakota" TargetMode="External"/><Relationship Id="rId5344" Type="http://schemas.openxmlformats.org/officeDocument/2006/relationships/hyperlink" Target="https://en.wikipedia.org/wiki/Texas" TargetMode="External"/><Relationship Id="rId273" Type="http://schemas.openxmlformats.org/officeDocument/2006/relationships/hyperlink" Target="https://en.wikipedia.org/wiki/Franklin_County,_Arkansas" TargetMode="External"/><Relationship Id="rId4013" Type="http://schemas.openxmlformats.org/officeDocument/2006/relationships/hyperlink" Target="https://en.wikipedia.org/wiki/Emmons_County,_North_Dakota" TargetMode="External"/><Relationship Id="rId5341" Type="http://schemas.openxmlformats.org/officeDocument/2006/relationships/hyperlink" Target="https://en.wikipedia.org/wiki/Liberty_County,_Texas" TargetMode="External"/><Relationship Id="rId272" Type="http://schemas.openxmlformats.org/officeDocument/2006/relationships/hyperlink" Target="https://en.wikipedia.org/wiki/Arkansas" TargetMode="External"/><Relationship Id="rId4012" Type="http://schemas.openxmlformats.org/officeDocument/2006/relationships/hyperlink" Target="https://en.wikipedia.org/wiki/North_Dakota" TargetMode="External"/><Relationship Id="rId5342" Type="http://schemas.openxmlformats.org/officeDocument/2006/relationships/hyperlink" Target="https://en.wikipedia.org/wiki/Texas" TargetMode="External"/><Relationship Id="rId279" Type="http://schemas.openxmlformats.org/officeDocument/2006/relationships/hyperlink" Target="https://en.wikipedia.org/wiki/Grant_County,_Arkansas" TargetMode="External"/><Relationship Id="rId4015" Type="http://schemas.openxmlformats.org/officeDocument/2006/relationships/hyperlink" Target="https://en.wikipedia.org/wiki/Foster_County,_North_Dakota" TargetMode="External"/><Relationship Id="rId5347" Type="http://schemas.openxmlformats.org/officeDocument/2006/relationships/hyperlink" Target="https://en.wikipedia.org/wiki/Live_Oak_County,_Texas" TargetMode="External"/><Relationship Id="rId278" Type="http://schemas.openxmlformats.org/officeDocument/2006/relationships/hyperlink" Target="https://en.wikipedia.org/wiki/Arkansas" TargetMode="External"/><Relationship Id="rId4014" Type="http://schemas.openxmlformats.org/officeDocument/2006/relationships/hyperlink" Target="https://en.wikipedia.org/wiki/North_Dakota" TargetMode="External"/><Relationship Id="rId5348" Type="http://schemas.openxmlformats.org/officeDocument/2006/relationships/hyperlink" Target="https://en.wikipedia.org/wiki/Texas" TargetMode="External"/><Relationship Id="rId277" Type="http://schemas.openxmlformats.org/officeDocument/2006/relationships/hyperlink" Target="https://en.wikipedia.org/wiki/Garland_County,_Arkansas" TargetMode="External"/><Relationship Id="rId4017" Type="http://schemas.openxmlformats.org/officeDocument/2006/relationships/hyperlink" Target="https://en.wikipedia.org/wiki/Golden_Valley_County,_North_Dakota" TargetMode="External"/><Relationship Id="rId5345" Type="http://schemas.openxmlformats.org/officeDocument/2006/relationships/hyperlink" Target="https://en.wikipedia.org/wiki/Lipscomb_County,_Texas" TargetMode="External"/><Relationship Id="rId276" Type="http://schemas.openxmlformats.org/officeDocument/2006/relationships/hyperlink" Target="https://en.wikipedia.org/wiki/Arkansas" TargetMode="External"/><Relationship Id="rId4016" Type="http://schemas.openxmlformats.org/officeDocument/2006/relationships/hyperlink" Target="https://en.wikipedia.org/wiki/North_Dakota" TargetMode="External"/><Relationship Id="rId5346" Type="http://schemas.openxmlformats.org/officeDocument/2006/relationships/hyperlink" Target="https://en.wikipedia.org/wiki/Texas" TargetMode="External"/><Relationship Id="rId1851" Type="http://schemas.openxmlformats.org/officeDocument/2006/relationships/hyperlink" Target="https://en.wikipedia.org/wiki/Greeley_County,_Kansas" TargetMode="External"/><Relationship Id="rId1852" Type="http://schemas.openxmlformats.org/officeDocument/2006/relationships/hyperlink" Target="https://en.wikipedia.org/wiki/Kansas" TargetMode="External"/><Relationship Id="rId1853" Type="http://schemas.openxmlformats.org/officeDocument/2006/relationships/hyperlink" Target="https://en.wikipedia.org/wiki/Greenwood_County,_Kansas" TargetMode="External"/><Relationship Id="rId1854" Type="http://schemas.openxmlformats.org/officeDocument/2006/relationships/hyperlink" Target="https://en.wikipedia.org/wiki/Kansas" TargetMode="External"/><Relationship Id="rId1855" Type="http://schemas.openxmlformats.org/officeDocument/2006/relationships/hyperlink" Target="https://en.wikipedia.org/wiki/Hamilton_County,_Kansas" TargetMode="External"/><Relationship Id="rId1856" Type="http://schemas.openxmlformats.org/officeDocument/2006/relationships/hyperlink" Target="https://en.wikipedia.org/wiki/Kansas" TargetMode="External"/><Relationship Id="rId1857" Type="http://schemas.openxmlformats.org/officeDocument/2006/relationships/hyperlink" Target="https://en.wikipedia.org/wiki/Harper_County,_Kansas" TargetMode="External"/><Relationship Id="rId1858" Type="http://schemas.openxmlformats.org/officeDocument/2006/relationships/hyperlink" Target="https://en.wikipedia.org/wiki/Kansas" TargetMode="External"/><Relationship Id="rId1859" Type="http://schemas.openxmlformats.org/officeDocument/2006/relationships/hyperlink" Target="https://en.wikipedia.org/wiki/Harvey_County,_Kansas" TargetMode="External"/><Relationship Id="rId1850" Type="http://schemas.openxmlformats.org/officeDocument/2006/relationships/hyperlink" Target="https://en.wikipedia.org/wiki/Kansas" TargetMode="External"/><Relationship Id="rId1840" Type="http://schemas.openxmlformats.org/officeDocument/2006/relationships/hyperlink" Target="https://en.wikipedia.org/wiki/Kansas" TargetMode="External"/><Relationship Id="rId1841" Type="http://schemas.openxmlformats.org/officeDocument/2006/relationships/hyperlink" Target="https://en.wikipedia.org/wiki/Geary_County,_Kansas" TargetMode="External"/><Relationship Id="rId1842" Type="http://schemas.openxmlformats.org/officeDocument/2006/relationships/hyperlink" Target="https://en.wikipedia.org/wiki/Kansas" TargetMode="External"/><Relationship Id="rId1843" Type="http://schemas.openxmlformats.org/officeDocument/2006/relationships/hyperlink" Target="https://en.wikipedia.org/wiki/Gove_County,_Kansas" TargetMode="External"/><Relationship Id="rId1844" Type="http://schemas.openxmlformats.org/officeDocument/2006/relationships/hyperlink" Target="https://en.wikipedia.org/wiki/Kansas" TargetMode="External"/><Relationship Id="rId1845" Type="http://schemas.openxmlformats.org/officeDocument/2006/relationships/hyperlink" Target="https://en.wikipedia.org/wiki/Graham_County,_Kansas" TargetMode="External"/><Relationship Id="rId1846" Type="http://schemas.openxmlformats.org/officeDocument/2006/relationships/hyperlink" Target="https://en.wikipedia.org/wiki/Kansas" TargetMode="External"/><Relationship Id="rId1847" Type="http://schemas.openxmlformats.org/officeDocument/2006/relationships/hyperlink" Target="https://en.wikipedia.org/wiki/Grant_County,_Kansas" TargetMode="External"/><Relationship Id="rId1848" Type="http://schemas.openxmlformats.org/officeDocument/2006/relationships/hyperlink" Target="https://en.wikipedia.org/wiki/Kansas" TargetMode="External"/><Relationship Id="rId1849" Type="http://schemas.openxmlformats.org/officeDocument/2006/relationships/hyperlink" Target="https://en.wikipedia.org/wiki/Gray_County,_Kansas" TargetMode="External"/><Relationship Id="rId1873" Type="http://schemas.openxmlformats.org/officeDocument/2006/relationships/hyperlink" Target="https://en.wikipedia.org/wiki/Kearny_County,_Kansas" TargetMode="External"/><Relationship Id="rId1874" Type="http://schemas.openxmlformats.org/officeDocument/2006/relationships/hyperlink" Target="https://en.wikipedia.org/wiki/Kansas" TargetMode="External"/><Relationship Id="rId1875" Type="http://schemas.openxmlformats.org/officeDocument/2006/relationships/hyperlink" Target="https://en.wikipedia.org/wiki/Kingman_County,_Kansas" TargetMode="External"/><Relationship Id="rId1876" Type="http://schemas.openxmlformats.org/officeDocument/2006/relationships/hyperlink" Target="https://en.wikipedia.org/wiki/Kansas" TargetMode="External"/><Relationship Id="rId1877" Type="http://schemas.openxmlformats.org/officeDocument/2006/relationships/hyperlink" Target="https://en.wikipedia.org/wiki/Kiowa_County,_Kansas" TargetMode="External"/><Relationship Id="rId1878" Type="http://schemas.openxmlformats.org/officeDocument/2006/relationships/hyperlink" Target="https://en.wikipedia.org/wiki/Kansas" TargetMode="External"/><Relationship Id="rId1879" Type="http://schemas.openxmlformats.org/officeDocument/2006/relationships/hyperlink" Target="https://en.wikipedia.org/wiki/Labette_County,_Kansas" TargetMode="External"/><Relationship Id="rId1870" Type="http://schemas.openxmlformats.org/officeDocument/2006/relationships/hyperlink" Target="https://en.wikipedia.org/wiki/Kansas" TargetMode="External"/><Relationship Id="rId1871" Type="http://schemas.openxmlformats.org/officeDocument/2006/relationships/hyperlink" Target="https://en.wikipedia.org/wiki/Johnson_County,_Kansas" TargetMode="External"/><Relationship Id="rId1872" Type="http://schemas.openxmlformats.org/officeDocument/2006/relationships/hyperlink" Target="https://en.wikipedia.org/wiki/Kansas" TargetMode="External"/><Relationship Id="rId1862" Type="http://schemas.openxmlformats.org/officeDocument/2006/relationships/hyperlink" Target="https://en.wikipedia.org/wiki/Kansas" TargetMode="External"/><Relationship Id="rId1863" Type="http://schemas.openxmlformats.org/officeDocument/2006/relationships/hyperlink" Target="https://en.wikipedia.org/wiki/Hodgeman_County,_Kansas" TargetMode="External"/><Relationship Id="rId1864" Type="http://schemas.openxmlformats.org/officeDocument/2006/relationships/hyperlink" Target="https://en.wikipedia.org/wiki/Kansas" TargetMode="External"/><Relationship Id="rId1865" Type="http://schemas.openxmlformats.org/officeDocument/2006/relationships/hyperlink" Target="https://en.wikipedia.org/wiki/Jackson_County,_Kansas" TargetMode="External"/><Relationship Id="rId1866" Type="http://schemas.openxmlformats.org/officeDocument/2006/relationships/hyperlink" Target="https://en.wikipedia.org/wiki/Kansas" TargetMode="External"/><Relationship Id="rId1867" Type="http://schemas.openxmlformats.org/officeDocument/2006/relationships/hyperlink" Target="https://en.wikipedia.org/wiki/Jefferson_County,_Kansas" TargetMode="External"/><Relationship Id="rId1868" Type="http://schemas.openxmlformats.org/officeDocument/2006/relationships/hyperlink" Target="https://en.wikipedia.org/wiki/Kansas" TargetMode="External"/><Relationship Id="rId1869" Type="http://schemas.openxmlformats.org/officeDocument/2006/relationships/hyperlink" Target="https://en.wikipedia.org/wiki/Jewell_County,_Kansas" TargetMode="External"/><Relationship Id="rId1860" Type="http://schemas.openxmlformats.org/officeDocument/2006/relationships/hyperlink" Target="https://en.wikipedia.org/wiki/Kansas" TargetMode="External"/><Relationship Id="rId1861" Type="http://schemas.openxmlformats.org/officeDocument/2006/relationships/hyperlink" Target="https://en.wikipedia.org/wiki/Haskell_County,_Kansas" TargetMode="External"/><Relationship Id="rId1810" Type="http://schemas.openxmlformats.org/officeDocument/2006/relationships/hyperlink" Target="https://en.wikipedia.org/wiki/Kansas" TargetMode="External"/><Relationship Id="rId1811" Type="http://schemas.openxmlformats.org/officeDocument/2006/relationships/hyperlink" Target="https://en.wikipedia.org/wiki/Coffey_County,_Kansas" TargetMode="External"/><Relationship Id="rId1812" Type="http://schemas.openxmlformats.org/officeDocument/2006/relationships/hyperlink" Target="https://en.wikipedia.org/wiki/Kansas" TargetMode="External"/><Relationship Id="rId1813" Type="http://schemas.openxmlformats.org/officeDocument/2006/relationships/hyperlink" Target="https://en.wikipedia.org/wiki/Comanche_County,_Kansas" TargetMode="External"/><Relationship Id="rId1814" Type="http://schemas.openxmlformats.org/officeDocument/2006/relationships/hyperlink" Target="https://en.wikipedia.org/wiki/Kansas" TargetMode="External"/><Relationship Id="rId1815" Type="http://schemas.openxmlformats.org/officeDocument/2006/relationships/hyperlink" Target="https://en.wikipedia.org/wiki/Cowley_County,_Kansas" TargetMode="External"/><Relationship Id="rId1816" Type="http://schemas.openxmlformats.org/officeDocument/2006/relationships/hyperlink" Target="https://en.wikipedia.org/wiki/Kansas" TargetMode="External"/><Relationship Id="rId1817" Type="http://schemas.openxmlformats.org/officeDocument/2006/relationships/hyperlink" Target="https://en.wikipedia.org/wiki/Crawford_County,_Kansas" TargetMode="External"/><Relationship Id="rId1818" Type="http://schemas.openxmlformats.org/officeDocument/2006/relationships/hyperlink" Target="https://en.wikipedia.org/wiki/Kansas" TargetMode="External"/><Relationship Id="rId1819" Type="http://schemas.openxmlformats.org/officeDocument/2006/relationships/hyperlink" Target="https://en.wikipedia.org/wiki/Decatur_County,_Kansas" TargetMode="External"/><Relationship Id="rId4080" Type="http://schemas.openxmlformats.org/officeDocument/2006/relationships/hyperlink" Target="https://en.wikipedia.org/wiki/North_Dakota" TargetMode="External"/><Relationship Id="rId4082" Type="http://schemas.openxmlformats.org/officeDocument/2006/relationships/hyperlink" Target="https://en.wikipedia.org/wiki/North_Dakota" TargetMode="External"/><Relationship Id="rId4081" Type="http://schemas.openxmlformats.org/officeDocument/2006/relationships/hyperlink" Target="https://en.wikipedia.org/wiki/Traill_County,_North_Dakota" TargetMode="External"/><Relationship Id="rId4084" Type="http://schemas.openxmlformats.org/officeDocument/2006/relationships/hyperlink" Target="https://en.wikipedia.org/wiki/North_Dakota" TargetMode="External"/><Relationship Id="rId4083" Type="http://schemas.openxmlformats.org/officeDocument/2006/relationships/hyperlink" Target="https://en.wikipedia.org/wiki/Walsh_County,_North_Dakota" TargetMode="External"/><Relationship Id="rId4086" Type="http://schemas.openxmlformats.org/officeDocument/2006/relationships/hyperlink" Target="https://en.wikipedia.org/wiki/North_Dakota" TargetMode="External"/><Relationship Id="rId4085" Type="http://schemas.openxmlformats.org/officeDocument/2006/relationships/hyperlink" Target="https://en.wikipedia.org/wiki/Ward_County,_North_Dakota" TargetMode="External"/><Relationship Id="rId4088" Type="http://schemas.openxmlformats.org/officeDocument/2006/relationships/hyperlink" Target="https://en.wikipedia.org/wiki/North_Dakota" TargetMode="External"/><Relationship Id="rId4087" Type="http://schemas.openxmlformats.org/officeDocument/2006/relationships/hyperlink" Target="https://en.wikipedia.org/wiki/Wells_County,_North_Dakota" TargetMode="External"/><Relationship Id="rId4089" Type="http://schemas.openxmlformats.org/officeDocument/2006/relationships/hyperlink" Target="https://en.wikipedia.org/wiki/Williams_County,_North_Dakota" TargetMode="External"/><Relationship Id="rId1800" Type="http://schemas.openxmlformats.org/officeDocument/2006/relationships/hyperlink" Target="https://en.wikipedia.org/wiki/Kansas" TargetMode="External"/><Relationship Id="rId1801" Type="http://schemas.openxmlformats.org/officeDocument/2006/relationships/hyperlink" Target="https://en.wikipedia.org/wiki/Cherokee_County,_Kansas" TargetMode="External"/><Relationship Id="rId1802" Type="http://schemas.openxmlformats.org/officeDocument/2006/relationships/hyperlink" Target="https://en.wikipedia.org/wiki/Kansas" TargetMode="External"/><Relationship Id="rId1803" Type="http://schemas.openxmlformats.org/officeDocument/2006/relationships/hyperlink" Target="https://en.wikipedia.org/wiki/Cheyenne_County,_Kansas" TargetMode="External"/><Relationship Id="rId1804" Type="http://schemas.openxmlformats.org/officeDocument/2006/relationships/hyperlink" Target="https://en.wikipedia.org/wiki/Kansas" TargetMode="External"/><Relationship Id="rId1805" Type="http://schemas.openxmlformats.org/officeDocument/2006/relationships/hyperlink" Target="https://en.wikipedia.org/wiki/Clark_County,_Kansas" TargetMode="External"/><Relationship Id="rId1806" Type="http://schemas.openxmlformats.org/officeDocument/2006/relationships/hyperlink" Target="https://en.wikipedia.org/wiki/Kansas" TargetMode="External"/><Relationship Id="rId1807" Type="http://schemas.openxmlformats.org/officeDocument/2006/relationships/hyperlink" Target="https://en.wikipedia.org/wiki/Clay_County,_Kansas" TargetMode="External"/><Relationship Id="rId1808" Type="http://schemas.openxmlformats.org/officeDocument/2006/relationships/hyperlink" Target="https://en.wikipedia.org/wiki/Kansas" TargetMode="External"/><Relationship Id="rId1809" Type="http://schemas.openxmlformats.org/officeDocument/2006/relationships/hyperlink" Target="https://en.wikipedia.org/wiki/Cloud_County,_Kansas" TargetMode="External"/><Relationship Id="rId4071" Type="http://schemas.openxmlformats.org/officeDocument/2006/relationships/hyperlink" Target="https://en.wikipedia.org/wiki/Slope_County,_North_Dakota" TargetMode="External"/><Relationship Id="rId4070" Type="http://schemas.openxmlformats.org/officeDocument/2006/relationships/hyperlink" Target="https://en.wikipedia.org/wiki/North_Dakota" TargetMode="External"/><Relationship Id="rId4073" Type="http://schemas.openxmlformats.org/officeDocument/2006/relationships/hyperlink" Target="https://en.wikipedia.org/wiki/Stark_County,_North_Dakota" TargetMode="External"/><Relationship Id="rId4072" Type="http://schemas.openxmlformats.org/officeDocument/2006/relationships/hyperlink" Target="https://en.wikipedia.org/wiki/North_Dakota" TargetMode="External"/><Relationship Id="rId4075" Type="http://schemas.openxmlformats.org/officeDocument/2006/relationships/hyperlink" Target="https://en.wikipedia.org/wiki/Steele_County,_North_Dakota" TargetMode="External"/><Relationship Id="rId4074" Type="http://schemas.openxmlformats.org/officeDocument/2006/relationships/hyperlink" Target="https://en.wikipedia.org/wiki/North_Dakota" TargetMode="External"/><Relationship Id="rId4077" Type="http://schemas.openxmlformats.org/officeDocument/2006/relationships/hyperlink" Target="https://en.wikipedia.org/wiki/Stutsman_County,_North_Dakota" TargetMode="External"/><Relationship Id="rId4076" Type="http://schemas.openxmlformats.org/officeDocument/2006/relationships/hyperlink" Target="https://en.wikipedia.org/wiki/North_Dakota" TargetMode="External"/><Relationship Id="rId4079" Type="http://schemas.openxmlformats.org/officeDocument/2006/relationships/hyperlink" Target="https://en.wikipedia.org/wiki/Towner_County,_North_Dakota" TargetMode="External"/><Relationship Id="rId4078" Type="http://schemas.openxmlformats.org/officeDocument/2006/relationships/hyperlink" Target="https://en.wikipedia.org/wiki/North_Dakota" TargetMode="External"/><Relationship Id="rId1830" Type="http://schemas.openxmlformats.org/officeDocument/2006/relationships/hyperlink" Target="https://en.wikipedia.org/wiki/Kansas" TargetMode="External"/><Relationship Id="rId1831" Type="http://schemas.openxmlformats.org/officeDocument/2006/relationships/hyperlink" Target="https://en.wikipedia.org/wiki/Ellis_County,_Kansas" TargetMode="External"/><Relationship Id="rId1832" Type="http://schemas.openxmlformats.org/officeDocument/2006/relationships/hyperlink" Target="https://en.wikipedia.org/wiki/Kansas" TargetMode="External"/><Relationship Id="rId1833" Type="http://schemas.openxmlformats.org/officeDocument/2006/relationships/hyperlink" Target="https://en.wikipedia.org/wiki/Ellsworth_County,_Kansas" TargetMode="External"/><Relationship Id="rId1834" Type="http://schemas.openxmlformats.org/officeDocument/2006/relationships/hyperlink" Target="https://en.wikipedia.org/wiki/Kansas" TargetMode="External"/><Relationship Id="rId1835" Type="http://schemas.openxmlformats.org/officeDocument/2006/relationships/hyperlink" Target="https://en.wikipedia.org/wiki/Finney_County,_Kansas" TargetMode="External"/><Relationship Id="rId1836" Type="http://schemas.openxmlformats.org/officeDocument/2006/relationships/hyperlink" Target="https://en.wikipedia.org/wiki/Kansas" TargetMode="External"/><Relationship Id="rId1837" Type="http://schemas.openxmlformats.org/officeDocument/2006/relationships/hyperlink" Target="https://en.wikipedia.org/wiki/Ford_County,_Kansas" TargetMode="External"/><Relationship Id="rId1838" Type="http://schemas.openxmlformats.org/officeDocument/2006/relationships/hyperlink" Target="https://en.wikipedia.org/wiki/Kansas" TargetMode="External"/><Relationship Id="rId1839" Type="http://schemas.openxmlformats.org/officeDocument/2006/relationships/hyperlink" Target="https://en.wikipedia.org/wiki/Franklin_County,_Kansas" TargetMode="External"/><Relationship Id="rId1820" Type="http://schemas.openxmlformats.org/officeDocument/2006/relationships/hyperlink" Target="https://en.wikipedia.org/wiki/Kansas" TargetMode="External"/><Relationship Id="rId1821" Type="http://schemas.openxmlformats.org/officeDocument/2006/relationships/hyperlink" Target="https://en.wikipedia.org/wiki/Dickinson_County,_Kansas" TargetMode="External"/><Relationship Id="rId1822" Type="http://schemas.openxmlformats.org/officeDocument/2006/relationships/hyperlink" Target="https://en.wikipedia.org/wiki/Kansas" TargetMode="External"/><Relationship Id="rId1823" Type="http://schemas.openxmlformats.org/officeDocument/2006/relationships/hyperlink" Target="https://en.wikipedia.org/wiki/Doniphan_County,_Kansas" TargetMode="External"/><Relationship Id="rId1824" Type="http://schemas.openxmlformats.org/officeDocument/2006/relationships/hyperlink" Target="https://en.wikipedia.org/wiki/Kansas" TargetMode="External"/><Relationship Id="rId1825" Type="http://schemas.openxmlformats.org/officeDocument/2006/relationships/hyperlink" Target="https://en.wikipedia.org/wiki/Douglas_County,_Kansas" TargetMode="External"/><Relationship Id="rId1826" Type="http://schemas.openxmlformats.org/officeDocument/2006/relationships/hyperlink" Target="https://en.wikipedia.org/wiki/Kansas" TargetMode="External"/><Relationship Id="rId1827" Type="http://schemas.openxmlformats.org/officeDocument/2006/relationships/hyperlink" Target="https://en.wikipedia.org/wiki/Edwards_County,_Kansas" TargetMode="External"/><Relationship Id="rId1828" Type="http://schemas.openxmlformats.org/officeDocument/2006/relationships/hyperlink" Target="https://en.wikipedia.org/wiki/Kansas" TargetMode="External"/><Relationship Id="rId1829" Type="http://schemas.openxmlformats.org/officeDocument/2006/relationships/hyperlink" Target="https://en.wikipedia.org/wiki/Elk_County,_Kansas" TargetMode="External"/><Relationship Id="rId4091" Type="http://schemas.openxmlformats.org/officeDocument/2006/relationships/hyperlink" Target="https://en.wikipedia.org/wiki/Adams_County,_Ohio" TargetMode="External"/><Relationship Id="rId4090" Type="http://schemas.openxmlformats.org/officeDocument/2006/relationships/hyperlink" Target="https://en.wikipedia.org/wiki/Ohio" TargetMode="External"/><Relationship Id="rId4093" Type="http://schemas.openxmlformats.org/officeDocument/2006/relationships/hyperlink" Target="https://en.wikipedia.org/wiki/Allen_County,_Ohio" TargetMode="External"/><Relationship Id="rId4092" Type="http://schemas.openxmlformats.org/officeDocument/2006/relationships/hyperlink" Target="https://en.wikipedia.org/wiki/Ohio" TargetMode="External"/><Relationship Id="rId4095" Type="http://schemas.openxmlformats.org/officeDocument/2006/relationships/hyperlink" Target="https://en.wikipedia.org/wiki/Ashland_County,_Ohio" TargetMode="External"/><Relationship Id="rId4094" Type="http://schemas.openxmlformats.org/officeDocument/2006/relationships/hyperlink" Target="https://en.wikipedia.org/wiki/Ohio" TargetMode="External"/><Relationship Id="rId4097" Type="http://schemas.openxmlformats.org/officeDocument/2006/relationships/hyperlink" Target="https://en.wikipedia.org/wiki/Ashtabula_County,_Ohio" TargetMode="External"/><Relationship Id="rId4096" Type="http://schemas.openxmlformats.org/officeDocument/2006/relationships/hyperlink" Target="https://en.wikipedia.org/wiki/Ohio" TargetMode="External"/><Relationship Id="rId4099" Type="http://schemas.openxmlformats.org/officeDocument/2006/relationships/hyperlink" Target="https://en.wikipedia.org/wiki/Athens_County,_Ohio" TargetMode="External"/><Relationship Id="rId4098" Type="http://schemas.openxmlformats.org/officeDocument/2006/relationships/hyperlink" Target="https://en.wikipedia.org/wiki/Ohio" TargetMode="External"/><Relationship Id="rId1895" Type="http://schemas.openxmlformats.org/officeDocument/2006/relationships/hyperlink" Target="https://en.wikipedia.org/wiki/Marion_County,_Kansas" TargetMode="External"/><Relationship Id="rId1896" Type="http://schemas.openxmlformats.org/officeDocument/2006/relationships/hyperlink" Target="https://en.wikipedia.org/wiki/Kansas" TargetMode="External"/><Relationship Id="rId1897" Type="http://schemas.openxmlformats.org/officeDocument/2006/relationships/hyperlink" Target="https://en.wikipedia.org/wiki/Marshall_County,_Kansas" TargetMode="External"/><Relationship Id="rId1898" Type="http://schemas.openxmlformats.org/officeDocument/2006/relationships/hyperlink" Target="https://en.wikipedia.org/wiki/Kansas" TargetMode="External"/><Relationship Id="rId1899" Type="http://schemas.openxmlformats.org/officeDocument/2006/relationships/hyperlink" Target="https://en.wikipedia.org/wiki/Meade_County,_Kansas" TargetMode="External"/><Relationship Id="rId1890" Type="http://schemas.openxmlformats.org/officeDocument/2006/relationships/hyperlink" Target="https://en.wikipedia.org/wiki/Kansas" TargetMode="External"/><Relationship Id="rId1891" Type="http://schemas.openxmlformats.org/officeDocument/2006/relationships/hyperlink" Target="https://en.wikipedia.org/wiki/Lyon_County,_Kansas" TargetMode="External"/><Relationship Id="rId1892" Type="http://schemas.openxmlformats.org/officeDocument/2006/relationships/hyperlink" Target="https://en.wikipedia.org/wiki/Kansas" TargetMode="External"/><Relationship Id="rId1893" Type="http://schemas.openxmlformats.org/officeDocument/2006/relationships/hyperlink" Target="https://en.wikipedia.org/wiki/McPherson_County,_Kansas" TargetMode="External"/><Relationship Id="rId1894" Type="http://schemas.openxmlformats.org/officeDocument/2006/relationships/hyperlink" Target="https://en.wikipedia.org/wiki/Kansas" TargetMode="External"/><Relationship Id="rId1884" Type="http://schemas.openxmlformats.org/officeDocument/2006/relationships/hyperlink" Target="https://en.wikipedia.org/wiki/Kansas" TargetMode="External"/><Relationship Id="rId1885" Type="http://schemas.openxmlformats.org/officeDocument/2006/relationships/hyperlink" Target="https://en.wikipedia.org/wiki/Lincoln_County,_Kansas" TargetMode="External"/><Relationship Id="rId1886" Type="http://schemas.openxmlformats.org/officeDocument/2006/relationships/hyperlink" Target="https://en.wikipedia.org/wiki/Kansas" TargetMode="External"/><Relationship Id="rId1887" Type="http://schemas.openxmlformats.org/officeDocument/2006/relationships/hyperlink" Target="https://en.wikipedia.org/wiki/Linn_County,_Kansas" TargetMode="External"/><Relationship Id="rId1888" Type="http://schemas.openxmlformats.org/officeDocument/2006/relationships/hyperlink" Target="https://en.wikipedia.org/wiki/Kansas" TargetMode="External"/><Relationship Id="rId1889" Type="http://schemas.openxmlformats.org/officeDocument/2006/relationships/hyperlink" Target="https://en.wikipedia.org/wiki/Logan_County,_Kansas" TargetMode="External"/><Relationship Id="rId1880" Type="http://schemas.openxmlformats.org/officeDocument/2006/relationships/hyperlink" Target="https://en.wikipedia.org/wiki/Kansas" TargetMode="External"/><Relationship Id="rId1881" Type="http://schemas.openxmlformats.org/officeDocument/2006/relationships/hyperlink" Target="https://en.wikipedia.org/wiki/Lane_County,_Kansas" TargetMode="External"/><Relationship Id="rId1882" Type="http://schemas.openxmlformats.org/officeDocument/2006/relationships/hyperlink" Target="https://en.wikipedia.org/wiki/Kansas" TargetMode="External"/><Relationship Id="rId1883" Type="http://schemas.openxmlformats.org/officeDocument/2006/relationships/hyperlink" Target="https://en.wikipedia.org/wiki/Leavenworth_County,_Kansas" TargetMode="External"/><Relationship Id="rId5417" Type="http://schemas.openxmlformats.org/officeDocument/2006/relationships/hyperlink" Target="https://en.wikipedia.org/wiki/Parker_County,_Texas" TargetMode="External"/><Relationship Id="rId5418" Type="http://schemas.openxmlformats.org/officeDocument/2006/relationships/hyperlink" Target="https://en.wikipedia.org/wiki/Texas" TargetMode="External"/><Relationship Id="rId5415" Type="http://schemas.openxmlformats.org/officeDocument/2006/relationships/hyperlink" Target="https://en.wikipedia.org/wiki/Panola_County,_Texas" TargetMode="External"/><Relationship Id="rId5416" Type="http://schemas.openxmlformats.org/officeDocument/2006/relationships/hyperlink" Target="https://en.wikipedia.org/wiki/Texas" TargetMode="External"/><Relationship Id="rId5419" Type="http://schemas.openxmlformats.org/officeDocument/2006/relationships/hyperlink" Target="https://en.wikipedia.org/wiki/Parmer_County,_Texas" TargetMode="External"/><Relationship Id="rId228" Type="http://schemas.openxmlformats.org/officeDocument/2006/relationships/hyperlink" Target="https://en.wikipedia.org/wiki/Arkansas" TargetMode="External"/><Relationship Id="rId227" Type="http://schemas.openxmlformats.org/officeDocument/2006/relationships/hyperlink" Target="https://en.wikipedia.org/wiki/Arkansas_County,_Arkansas" TargetMode="External"/><Relationship Id="rId226" Type="http://schemas.openxmlformats.org/officeDocument/2006/relationships/hyperlink" Target="https://en.wikipedia.org/wiki/Arkansas" TargetMode="External"/><Relationship Id="rId225" Type="http://schemas.openxmlformats.org/officeDocument/2006/relationships/hyperlink" Target="https://en.wikipedia.org/wiki/Yuma_County,_Arizona" TargetMode="External"/><Relationship Id="rId229" Type="http://schemas.openxmlformats.org/officeDocument/2006/relationships/hyperlink" Target="https://en.wikipedia.org/wiki/Ashley_County,_Arkansas" TargetMode="External"/><Relationship Id="rId220" Type="http://schemas.openxmlformats.org/officeDocument/2006/relationships/hyperlink" Target="https://en.wikipedia.org/wiki/Arizona" TargetMode="External"/><Relationship Id="rId5410" Type="http://schemas.openxmlformats.org/officeDocument/2006/relationships/hyperlink" Target="https://en.wikipedia.org/wiki/Texas" TargetMode="External"/><Relationship Id="rId224" Type="http://schemas.openxmlformats.org/officeDocument/2006/relationships/hyperlink" Target="https://en.wikipedia.org/wiki/Arizona" TargetMode="External"/><Relationship Id="rId5413" Type="http://schemas.openxmlformats.org/officeDocument/2006/relationships/hyperlink" Target="https://en.wikipedia.org/wiki/Palo_Pinto_County,_Texas" TargetMode="External"/><Relationship Id="rId223" Type="http://schemas.openxmlformats.org/officeDocument/2006/relationships/hyperlink" Target="https://en.wikipedia.org/wiki/Yavapai_County,_Arizona" TargetMode="External"/><Relationship Id="rId5414" Type="http://schemas.openxmlformats.org/officeDocument/2006/relationships/hyperlink" Target="https://en.wikipedia.org/wiki/Texas" TargetMode="External"/><Relationship Id="rId222" Type="http://schemas.openxmlformats.org/officeDocument/2006/relationships/hyperlink" Target="https://en.wikipedia.org/wiki/Arizona" TargetMode="External"/><Relationship Id="rId5411" Type="http://schemas.openxmlformats.org/officeDocument/2006/relationships/hyperlink" Target="https://en.wikipedia.org/wiki/Orange_County,_Texas" TargetMode="External"/><Relationship Id="rId221" Type="http://schemas.openxmlformats.org/officeDocument/2006/relationships/hyperlink" Target="https://en.wikipedia.org/wiki/Santa_Cruz_County,_Arizona" TargetMode="External"/><Relationship Id="rId5412" Type="http://schemas.openxmlformats.org/officeDocument/2006/relationships/hyperlink" Target="https://en.wikipedia.org/wiki/Texas" TargetMode="External"/><Relationship Id="rId5406" Type="http://schemas.openxmlformats.org/officeDocument/2006/relationships/hyperlink" Target="https://en.wikipedia.org/wiki/Texas" TargetMode="External"/><Relationship Id="rId5407" Type="http://schemas.openxmlformats.org/officeDocument/2006/relationships/hyperlink" Target="https://en.wikipedia.org/wiki/Ochiltree_County,_Texas" TargetMode="External"/><Relationship Id="rId5404" Type="http://schemas.openxmlformats.org/officeDocument/2006/relationships/hyperlink" Target="https://en.wikipedia.org/wiki/Texas" TargetMode="External"/><Relationship Id="rId5405" Type="http://schemas.openxmlformats.org/officeDocument/2006/relationships/hyperlink" Target="https://en.wikipedia.org/wiki/Nueces_County,_Texas" TargetMode="External"/><Relationship Id="rId5408" Type="http://schemas.openxmlformats.org/officeDocument/2006/relationships/hyperlink" Target="https://en.wikipedia.org/wiki/Texas" TargetMode="External"/><Relationship Id="rId5409" Type="http://schemas.openxmlformats.org/officeDocument/2006/relationships/hyperlink" Target="https://en.wikipedia.org/wiki/Oldham_County,_Texas" TargetMode="External"/><Relationship Id="rId217" Type="http://schemas.openxmlformats.org/officeDocument/2006/relationships/hyperlink" Target="https://en.wikipedia.org/wiki/Pima_County,_Arizona" TargetMode="External"/><Relationship Id="rId216" Type="http://schemas.openxmlformats.org/officeDocument/2006/relationships/hyperlink" Target="https://en.wikipedia.org/wiki/Arizona" TargetMode="External"/><Relationship Id="rId215" Type="http://schemas.openxmlformats.org/officeDocument/2006/relationships/hyperlink" Target="https://en.wikipedia.org/wiki/Navajo_County,_Arizona" TargetMode="External"/><Relationship Id="rId214" Type="http://schemas.openxmlformats.org/officeDocument/2006/relationships/hyperlink" Target="https://en.wikipedia.org/wiki/Arizona" TargetMode="External"/><Relationship Id="rId219" Type="http://schemas.openxmlformats.org/officeDocument/2006/relationships/hyperlink" Target="https://en.wikipedia.org/wiki/Pinal_County,_Arizona" TargetMode="External"/><Relationship Id="rId218" Type="http://schemas.openxmlformats.org/officeDocument/2006/relationships/hyperlink" Target="https://en.wikipedia.org/wiki/Arizona" TargetMode="External"/><Relationship Id="rId213" Type="http://schemas.openxmlformats.org/officeDocument/2006/relationships/hyperlink" Target="https://en.wikipedia.org/wiki/Mohave_County,_Arizona" TargetMode="External"/><Relationship Id="rId5402" Type="http://schemas.openxmlformats.org/officeDocument/2006/relationships/hyperlink" Target="https://en.wikipedia.org/wiki/Texas" TargetMode="External"/><Relationship Id="rId212" Type="http://schemas.openxmlformats.org/officeDocument/2006/relationships/hyperlink" Target="https://en.wikipedia.org/wiki/Arizona" TargetMode="External"/><Relationship Id="rId5403" Type="http://schemas.openxmlformats.org/officeDocument/2006/relationships/hyperlink" Target="https://en.wikipedia.org/wiki/Nolan_County,_Texas" TargetMode="External"/><Relationship Id="rId211" Type="http://schemas.openxmlformats.org/officeDocument/2006/relationships/hyperlink" Target="https://en.wikipedia.org/wiki/Maricopa_County,_Arizona" TargetMode="External"/><Relationship Id="rId5400" Type="http://schemas.openxmlformats.org/officeDocument/2006/relationships/hyperlink" Target="https://en.wikipedia.org/wiki/Texas" TargetMode="External"/><Relationship Id="rId210" Type="http://schemas.openxmlformats.org/officeDocument/2006/relationships/hyperlink" Target="https://en.wikipedia.org/wiki/Arizona" TargetMode="External"/><Relationship Id="rId5401" Type="http://schemas.openxmlformats.org/officeDocument/2006/relationships/hyperlink" Target="https://en.wikipedia.org/wiki/Newton_County,_Texas" TargetMode="External"/><Relationship Id="rId4107" Type="http://schemas.openxmlformats.org/officeDocument/2006/relationships/hyperlink" Target="https://en.wikipedia.org/wiki/Butler_County,_Ohio" TargetMode="External"/><Relationship Id="rId5439" Type="http://schemas.openxmlformats.org/officeDocument/2006/relationships/hyperlink" Target="https://en.wikipedia.org/wiki/Reeves_County,_Texas" TargetMode="External"/><Relationship Id="rId4106" Type="http://schemas.openxmlformats.org/officeDocument/2006/relationships/hyperlink" Target="https://en.wikipedia.org/wiki/Ohio" TargetMode="External"/><Relationship Id="rId4109" Type="http://schemas.openxmlformats.org/officeDocument/2006/relationships/hyperlink" Target="https://en.wikipedia.org/wiki/Carroll_County,_Ohio" TargetMode="External"/><Relationship Id="rId5437" Type="http://schemas.openxmlformats.org/officeDocument/2006/relationships/hyperlink" Target="https://en.wikipedia.org/wiki/Red_River_County,_Texas" TargetMode="External"/><Relationship Id="rId4108" Type="http://schemas.openxmlformats.org/officeDocument/2006/relationships/hyperlink" Target="https://en.wikipedia.org/wiki/Ohio" TargetMode="External"/><Relationship Id="rId5438" Type="http://schemas.openxmlformats.org/officeDocument/2006/relationships/hyperlink" Target="https://en.wikipedia.org/wiki/Texas" TargetMode="External"/><Relationship Id="rId249" Type="http://schemas.openxmlformats.org/officeDocument/2006/relationships/hyperlink" Target="https://en.wikipedia.org/wiki/Cleburne_County,_Arkansas" TargetMode="External"/><Relationship Id="rId248" Type="http://schemas.openxmlformats.org/officeDocument/2006/relationships/hyperlink" Target="https://en.wikipedia.org/wiki/Arkansas" TargetMode="External"/><Relationship Id="rId247" Type="http://schemas.openxmlformats.org/officeDocument/2006/relationships/hyperlink" Target="https://en.wikipedia.org/wiki/Clay_County,_Arkansas" TargetMode="External"/><Relationship Id="rId242" Type="http://schemas.openxmlformats.org/officeDocument/2006/relationships/hyperlink" Target="https://en.wikipedia.org/wiki/Arkansas" TargetMode="External"/><Relationship Id="rId5431" Type="http://schemas.openxmlformats.org/officeDocument/2006/relationships/hyperlink" Target="https://en.wikipedia.org/wiki/Randall_County,_Texas" TargetMode="External"/><Relationship Id="rId241" Type="http://schemas.openxmlformats.org/officeDocument/2006/relationships/hyperlink" Target="https://en.wikipedia.org/wiki/Carroll_County,_Arkansas" TargetMode="External"/><Relationship Id="rId5432" Type="http://schemas.openxmlformats.org/officeDocument/2006/relationships/hyperlink" Target="https://en.wikipedia.org/wiki/Texas" TargetMode="External"/><Relationship Id="rId240" Type="http://schemas.openxmlformats.org/officeDocument/2006/relationships/hyperlink" Target="https://en.wikipedia.org/wiki/Arkansas" TargetMode="External"/><Relationship Id="rId4101" Type="http://schemas.openxmlformats.org/officeDocument/2006/relationships/hyperlink" Target="https://en.wikipedia.org/wiki/Auglaize_County,_Ohio" TargetMode="External"/><Relationship Id="rId4100" Type="http://schemas.openxmlformats.org/officeDocument/2006/relationships/hyperlink" Target="https://en.wikipedia.org/wiki/Ohio" TargetMode="External"/><Relationship Id="rId5430" Type="http://schemas.openxmlformats.org/officeDocument/2006/relationships/hyperlink" Target="https://en.wikipedia.org/wiki/Texas" TargetMode="External"/><Relationship Id="rId246" Type="http://schemas.openxmlformats.org/officeDocument/2006/relationships/hyperlink" Target="https://en.wikipedia.org/wiki/Arkansas" TargetMode="External"/><Relationship Id="rId4103" Type="http://schemas.openxmlformats.org/officeDocument/2006/relationships/hyperlink" Target="https://en.wikipedia.org/wiki/Belmont_County,_Ohio" TargetMode="External"/><Relationship Id="rId5435" Type="http://schemas.openxmlformats.org/officeDocument/2006/relationships/hyperlink" Target="https://en.wikipedia.org/wiki/Real_County,_Texas" TargetMode="External"/><Relationship Id="rId245" Type="http://schemas.openxmlformats.org/officeDocument/2006/relationships/hyperlink" Target="https://en.wikipedia.org/wiki/Clark_County,_Arkansas" TargetMode="External"/><Relationship Id="rId4102" Type="http://schemas.openxmlformats.org/officeDocument/2006/relationships/hyperlink" Target="https://en.wikipedia.org/wiki/Ohio" TargetMode="External"/><Relationship Id="rId5436" Type="http://schemas.openxmlformats.org/officeDocument/2006/relationships/hyperlink" Target="https://en.wikipedia.org/wiki/Texas" TargetMode="External"/><Relationship Id="rId244" Type="http://schemas.openxmlformats.org/officeDocument/2006/relationships/hyperlink" Target="https://en.wikipedia.org/wiki/Arkansas" TargetMode="External"/><Relationship Id="rId4105" Type="http://schemas.openxmlformats.org/officeDocument/2006/relationships/hyperlink" Target="https://en.wikipedia.org/wiki/Brown_County,_Ohio" TargetMode="External"/><Relationship Id="rId5433" Type="http://schemas.openxmlformats.org/officeDocument/2006/relationships/hyperlink" Target="https://en.wikipedia.org/wiki/Reagan_County,_Texas" TargetMode="External"/><Relationship Id="rId243" Type="http://schemas.openxmlformats.org/officeDocument/2006/relationships/hyperlink" Target="https://en.wikipedia.org/wiki/Chicot_County,_Arkansas" TargetMode="External"/><Relationship Id="rId4104" Type="http://schemas.openxmlformats.org/officeDocument/2006/relationships/hyperlink" Target="https://en.wikipedia.org/wiki/Ohio" TargetMode="External"/><Relationship Id="rId5434" Type="http://schemas.openxmlformats.org/officeDocument/2006/relationships/hyperlink" Target="https://en.wikipedia.org/wiki/Texas" TargetMode="External"/><Relationship Id="rId5428" Type="http://schemas.openxmlformats.org/officeDocument/2006/relationships/hyperlink" Target="https://en.wikipedia.org/wiki/Texas" TargetMode="External"/><Relationship Id="rId5429" Type="http://schemas.openxmlformats.org/officeDocument/2006/relationships/hyperlink" Target="https://en.wikipedia.org/wiki/Rains_County,_Texas" TargetMode="External"/><Relationship Id="rId5426" Type="http://schemas.openxmlformats.org/officeDocument/2006/relationships/hyperlink" Target="https://en.wikipedia.org/wiki/Texas" TargetMode="External"/><Relationship Id="rId5427" Type="http://schemas.openxmlformats.org/officeDocument/2006/relationships/hyperlink" Target="https://en.wikipedia.org/wiki/Presidio_County,_Texas" TargetMode="External"/><Relationship Id="rId239" Type="http://schemas.openxmlformats.org/officeDocument/2006/relationships/hyperlink" Target="https://en.wikipedia.org/wiki/Calhoun_County,_Arkansas" TargetMode="External"/><Relationship Id="rId238" Type="http://schemas.openxmlformats.org/officeDocument/2006/relationships/hyperlink" Target="https://en.wikipedia.org/wiki/Arkansas" TargetMode="External"/><Relationship Id="rId237" Type="http://schemas.openxmlformats.org/officeDocument/2006/relationships/hyperlink" Target="https://en.wikipedia.org/wiki/Bradley_County,_Arkansas" TargetMode="External"/><Relationship Id="rId236" Type="http://schemas.openxmlformats.org/officeDocument/2006/relationships/hyperlink" Target="https://en.wikipedia.org/wiki/Arkansas" TargetMode="External"/><Relationship Id="rId231" Type="http://schemas.openxmlformats.org/officeDocument/2006/relationships/hyperlink" Target="https://en.wikipedia.org/wiki/Baxter_County,_Arkansas" TargetMode="External"/><Relationship Id="rId5420" Type="http://schemas.openxmlformats.org/officeDocument/2006/relationships/hyperlink" Target="https://en.wikipedia.org/wiki/Texas" TargetMode="External"/><Relationship Id="rId230" Type="http://schemas.openxmlformats.org/officeDocument/2006/relationships/hyperlink" Target="https://en.wikipedia.org/wiki/Arkansas" TargetMode="External"/><Relationship Id="rId5421" Type="http://schemas.openxmlformats.org/officeDocument/2006/relationships/hyperlink" Target="https://en.wikipedia.org/wiki/Pecos_County,_Texas" TargetMode="External"/><Relationship Id="rId235" Type="http://schemas.openxmlformats.org/officeDocument/2006/relationships/hyperlink" Target="https://en.wikipedia.org/wiki/Boone_County,_Arkansas" TargetMode="External"/><Relationship Id="rId5424" Type="http://schemas.openxmlformats.org/officeDocument/2006/relationships/hyperlink" Target="https://en.wikipedia.org/wiki/Texas" TargetMode="External"/><Relationship Id="rId234" Type="http://schemas.openxmlformats.org/officeDocument/2006/relationships/hyperlink" Target="https://en.wikipedia.org/wiki/Arkansas" TargetMode="External"/><Relationship Id="rId5425" Type="http://schemas.openxmlformats.org/officeDocument/2006/relationships/hyperlink" Target="https://en.wikipedia.org/wiki/Potter_County,_Texas" TargetMode="External"/><Relationship Id="rId233" Type="http://schemas.openxmlformats.org/officeDocument/2006/relationships/hyperlink" Target="https://en.wikipedia.org/wiki/Benton_County,_Arkansas" TargetMode="External"/><Relationship Id="rId5422" Type="http://schemas.openxmlformats.org/officeDocument/2006/relationships/hyperlink" Target="https://en.wikipedia.org/wiki/Texas" TargetMode="External"/><Relationship Id="rId232" Type="http://schemas.openxmlformats.org/officeDocument/2006/relationships/hyperlink" Target="https://en.wikipedia.org/wiki/Arkansas" TargetMode="External"/><Relationship Id="rId5423" Type="http://schemas.openxmlformats.org/officeDocument/2006/relationships/hyperlink" Target="https://en.wikipedia.org/wiki/Polk_County,_Texas" TargetMode="External"/><Relationship Id="rId206" Type="http://schemas.openxmlformats.org/officeDocument/2006/relationships/hyperlink" Target="https://en.wikipedia.org/wiki/Arizona" TargetMode="External"/><Relationship Id="rId205" Type="http://schemas.openxmlformats.org/officeDocument/2006/relationships/hyperlink" Target="https://en.wikipedia.org/wiki/Graham_County,_Arizona" TargetMode="External"/><Relationship Id="rId204" Type="http://schemas.openxmlformats.org/officeDocument/2006/relationships/hyperlink" Target="https://en.wikipedia.org/wiki/Arizona" TargetMode="External"/><Relationship Id="rId203" Type="http://schemas.openxmlformats.org/officeDocument/2006/relationships/hyperlink" Target="https://en.wikipedia.org/wiki/Gila_County,_Arizona" TargetMode="External"/><Relationship Id="rId209" Type="http://schemas.openxmlformats.org/officeDocument/2006/relationships/hyperlink" Target="https://en.wikipedia.org/wiki/La_Paz_County,_Arizona" TargetMode="External"/><Relationship Id="rId208" Type="http://schemas.openxmlformats.org/officeDocument/2006/relationships/hyperlink" Target="https://en.wikipedia.org/wiki/Arizona" TargetMode="External"/><Relationship Id="rId207" Type="http://schemas.openxmlformats.org/officeDocument/2006/relationships/hyperlink" Target="https://en.wikipedia.org/wiki/Greenlee_County,_Arizona" TargetMode="External"/><Relationship Id="rId202" Type="http://schemas.openxmlformats.org/officeDocument/2006/relationships/hyperlink" Target="https://en.wikipedia.org/wiki/Arizona" TargetMode="External"/><Relationship Id="rId201" Type="http://schemas.openxmlformats.org/officeDocument/2006/relationships/hyperlink" Target="https://en.wikipedia.org/wiki/Coconino_County,_Arizona" TargetMode="External"/><Relationship Id="rId200" Type="http://schemas.openxmlformats.org/officeDocument/2006/relationships/hyperlink" Target="https://en.wikipedia.org/wiki/Arizona" TargetMode="External"/><Relationship Id="rId5490" Type="http://schemas.openxmlformats.org/officeDocument/2006/relationships/hyperlink" Target="https://en.wikipedia.org/wiki/Texas" TargetMode="External"/><Relationship Id="rId4161" Type="http://schemas.openxmlformats.org/officeDocument/2006/relationships/hyperlink" Target="https://en.wikipedia.org/wiki/Highland_County,_Ohio" TargetMode="External"/><Relationship Id="rId5493" Type="http://schemas.openxmlformats.org/officeDocument/2006/relationships/hyperlink" Target="https://en.wikipedia.org/wiki/Terrell_County,_Texas" TargetMode="External"/><Relationship Id="rId4160" Type="http://schemas.openxmlformats.org/officeDocument/2006/relationships/hyperlink" Target="https://en.wikipedia.org/wiki/Ohio" TargetMode="External"/><Relationship Id="rId5494" Type="http://schemas.openxmlformats.org/officeDocument/2006/relationships/hyperlink" Target="https://en.wikipedia.org/wiki/Texas" TargetMode="External"/><Relationship Id="rId4163" Type="http://schemas.openxmlformats.org/officeDocument/2006/relationships/hyperlink" Target="https://en.wikipedia.org/wiki/Hocking_County,_Ohio" TargetMode="External"/><Relationship Id="rId5491" Type="http://schemas.openxmlformats.org/officeDocument/2006/relationships/hyperlink" Target="https://en.wikipedia.org/wiki/Taylor_County,_Texas" TargetMode="External"/><Relationship Id="rId4162" Type="http://schemas.openxmlformats.org/officeDocument/2006/relationships/hyperlink" Target="https://en.wikipedia.org/wiki/Ohio" TargetMode="External"/><Relationship Id="rId5492" Type="http://schemas.openxmlformats.org/officeDocument/2006/relationships/hyperlink" Target="https://en.wikipedia.org/wiki/Texas" TargetMode="External"/><Relationship Id="rId4165" Type="http://schemas.openxmlformats.org/officeDocument/2006/relationships/hyperlink" Target="https://en.wikipedia.org/wiki/Holmes_County,_Ohio" TargetMode="External"/><Relationship Id="rId5497" Type="http://schemas.openxmlformats.org/officeDocument/2006/relationships/hyperlink" Target="https://en.wikipedia.org/wiki/Throckmorton_County,_Texas" TargetMode="External"/><Relationship Id="rId4164" Type="http://schemas.openxmlformats.org/officeDocument/2006/relationships/hyperlink" Target="https://en.wikipedia.org/wiki/Ohio" TargetMode="External"/><Relationship Id="rId5498" Type="http://schemas.openxmlformats.org/officeDocument/2006/relationships/hyperlink" Target="https://en.wikipedia.org/wiki/Texas" TargetMode="External"/><Relationship Id="rId4167" Type="http://schemas.openxmlformats.org/officeDocument/2006/relationships/hyperlink" Target="https://en.wikipedia.org/wiki/Huron_County,_Ohio" TargetMode="External"/><Relationship Id="rId5495" Type="http://schemas.openxmlformats.org/officeDocument/2006/relationships/hyperlink" Target="https://en.wikipedia.org/wiki/Terry_County,_Texas" TargetMode="External"/><Relationship Id="rId4166" Type="http://schemas.openxmlformats.org/officeDocument/2006/relationships/hyperlink" Target="https://en.wikipedia.org/wiki/Ohio" TargetMode="External"/><Relationship Id="rId5496" Type="http://schemas.openxmlformats.org/officeDocument/2006/relationships/hyperlink" Target="https://en.wikipedia.org/wiki/Texas" TargetMode="External"/><Relationship Id="rId4169" Type="http://schemas.openxmlformats.org/officeDocument/2006/relationships/hyperlink" Target="https://en.wikipedia.org/wiki/Jackson_County,_Ohio" TargetMode="External"/><Relationship Id="rId4168" Type="http://schemas.openxmlformats.org/officeDocument/2006/relationships/hyperlink" Target="https://en.wikipedia.org/wiki/Ohio" TargetMode="External"/><Relationship Id="rId5499" Type="http://schemas.openxmlformats.org/officeDocument/2006/relationships/hyperlink" Target="https://en.wikipedia.org/wiki/Titus_County,_Texas" TargetMode="External"/><Relationship Id="rId4150" Type="http://schemas.openxmlformats.org/officeDocument/2006/relationships/hyperlink" Target="https://en.wikipedia.org/wiki/Ohio" TargetMode="External"/><Relationship Id="rId5482" Type="http://schemas.openxmlformats.org/officeDocument/2006/relationships/hyperlink" Target="https://en.wikipedia.org/wiki/Texas" TargetMode="External"/><Relationship Id="rId5483" Type="http://schemas.openxmlformats.org/officeDocument/2006/relationships/hyperlink" Target="https://en.wikipedia.org/wiki/Stonewall_County,_Texas" TargetMode="External"/><Relationship Id="rId4152" Type="http://schemas.openxmlformats.org/officeDocument/2006/relationships/hyperlink" Target="https://en.wikipedia.org/wiki/Ohio" TargetMode="External"/><Relationship Id="rId5480" Type="http://schemas.openxmlformats.org/officeDocument/2006/relationships/hyperlink" Target="https://en.wikipedia.org/wiki/Texas" TargetMode="External"/><Relationship Id="rId4151" Type="http://schemas.openxmlformats.org/officeDocument/2006/relationships/hyperlink" Target="https://en.wikipedia.org/wiki/Hamilton_County,_Ohio" TargetMode="External"/><Relationship Id="rId5481" Type="http://schemas.openxmlformats.org/officeDocument/2006/relationships/hyperlink" Target="https://en.wikipedia.org/wiki/Sterling_County,_Texas" TargetMode="External"/><Relationship Id="rId4154" Type="http://schemas.openxmlformats.org/officeDocument/2006/relationships/hyperlink" Target="https://en.wikipedia.org/wiki/Ohio" TargetMode="External"/><Relationship Id="rId5486" Type="http://schemas.openxmlformats.org/officeDocument/2006/relationships/hyperlink" Target="https://en.wikipedia.org/wiki/Texas" TargetMode="External"/><Relationship Id="rId4153" Type="http://schemas.openxmlformats.org/officeDocument/2006/relationships/hyperlink" Target="https://en.wikipedia.org/wiki/Hancock_County,_Ohio" TargetMode="External"/><Relationship Id="rId5487" Type="http://schemas.openxmlformats.org/officeDocument/2006/relationships/hyperlink" Target="https://en.wikipedia.org/wiki/Swisher_County,_Texas" TargetMode="External"/><Relationship Id="rId4156" Type="http://schemas.openxmlformats.org/officeDocument/2006/relationships/hyperlink" Target="https://en.wikipedia.org/wiki/Ohio" TargetMode="External"/><Relationship Id="rId5484" Type="http://schemas.openxmlformats.org/officeDocument/2006/relationships/hyperlink" Target="https://en.wikipedia.org/wiki/Texas" TargetMode="External"/><Relationship Id="rId4155" Type="http://schemas.openxmlformats.org/officeDocument/2006/relationships/hyperlink" Target="https://en.wikipedia.org/wiki/Hardin_County,_Ohio" TargetMode="External"/><Relationship Id="rId5485" Type="http://schemas.openxmlformats.org/officeDocument/2006/relationships/hyperlink" Target="https://en.wikipedia.org/wiki/Sutton_County,_Texas" TargetMode="External"/><Relationship Id="rId4158" Type="http://schemas.openxmlformats.org/officeDocument/2006/relationships/hyperlink" Target="https://en.wikipedia.org/wiki/Ohio" TargetMode="External"/><Relationship Id="rId4157" Type="http://schemas.openxmlformats.org/officeDocument/2006/relationships/hyperlink" Target="https://en.wikipedia.org/wiki/Harrison_County,_Ohio" TargetMode="External"/><Relationship Id="rId5488" Type="http://schemas.openxmlformats.org/officeDocument/2006/relationships/hyperlink" Target="https://en.wikipedia.org/wiki/Texas" TargetMode="External"/><Relationship Id="rId4159" Type="http://schemas.openxmlformats.org/officeDocument/2006/relationships/hyperlink" Target="https://en.wikipedia.org/wiki/Henry_County,_Ohio" TargetMode="External"/><Relationship Id="rId5489" Type="http://schemas.openxmlformats.org/officeDocument/2006/relationships/hyperlink" Target="https://en.wikipedia.org/wiki/Tarrant_County,_Texas" TargetMode="External"/><Relationship Id="rId1910" Type="http://schemas.openxmlformats.org/officeDocument/2006/relationships/hyperlink" Target="https://en.wikipedia.org/wiki/Kansas" TargetMode="External"/><Relationship Id="rId1911" Type="http://schemas.openxmlformats.org/officeDocument/2006/relationships/hyperlink" Target="https://en.wikipedia.org/wiki/Nemaha_County,_Kansas" TargetMode="External"/><Relationship Id="rId1912" Type="http://schemas.openxmlformats.org/officeDocument/2006/relationships/hyperlink" Target="https://en.wikipedia.org/wiki/Kansas" TargetMode="External"/><Relationship Id="rId1913" Type="http://schemas.openxmlformats.org/officeDocument/2006/relationships/hyperlink" Target="https://en.wikipedia.org/wiki/Neosho_County,_Kansas" TargetMode="External"/><Relationship Id="rId1914" Type="http://schemas.openxmlformats.org/officeDocument/2006/relationships/hyperlink" Target="https://en.wikipedia.org/wiki/Kansas" TargetMode="External"/><Relationship Id="rId1915" Type="http://schemas.openxmlformats.org/officeDocument/2006/relationships/hyperlink" Target="https://en.wikipedia.org/wiki/Ness_County,_Kansas" TargetMode="External"/><Relationship Id="rId1916" Type="http://schemas.openxmlformats.org/officeDocument/2006/relationships/hyperlink" Target="https://en.wikipedia.org/wiki/Kansas" TargetMode="External"/><Relationship Id="rId1917" Type="http://schemas.openxmlformats.org/officeDocument/2006/relationships/hyperlink" Target="https://en.wikipedia.org/wiki/Norton_County,_Kansas" TargetMode="External"/><Relationship Id="rId1918" Type="http://schemas.openxmlformats.org/officeDocument/2006/relationships/hyperlink" Target="https://en.wikipedia.org/wiki/Kansas" TargetMode="External"/><Relationship Id="rId1919" Type="http://schemas.openxmlformats.org/officeDocument/2006/relationships/hyperlink" Target="https://en.wikipedia.org/wiki/Osage_County,_Kansas" TargetMode="External"/><Relationship Id="rId4181" Type="http://schemas.openxmlformats.org/officeDocument/2006/relationships/hyperlink" Target="https://en.wikipedia.org/wiki/Logan_County,_Ohio" TargetMode="External"/><Relationship Id="rId4180" Type="http://schemas.openxmlformats.org/officeDocument/2006/relationships/hyperlink" Target="https://en.wikipedia.org/wiki/Ohio" TargetMode="External"/><Relationship Id="rId4183" Type="http://schemas.openxmlformats.org/officeDocument/2006/relationships/hyperlink" Target="https://en.wikipedia.org/wiki/Lorain_County,_Ohio" TargetMode="External"/><Relationship Id="rId4182" Type="http://schemas.openxmlformats.org/officeDocument/2006/relationships/hyperlink" Target="https://en.wikipedia.org/wiki/Ohio" TargetMode="External"/><Relationship Id="rId4185" Type="http://schemas.openxmlformats.org/officeDocument/2006/relationships/hyperlink" Target="https://en.wikipedia.org/wiki/Lucas_County,_Ohio" TargetMode="External"/><Relationship Id="rId4184" Type="http://schemas.openxmlformats.org/officeDocument/2006/relationships/hyperlink" Target="https://en.wikipedia.org/wiki/Ohio" TargetMode="External"/><Relationship Id="rId4187" Type="http://schemas.openxmlformats.org/officeDocument/2006/relationships/hyperlink" Target="https://en.wikipedia.org/wiki/Madison_County,_Ohio" TargetMode="External"/><Relationship Id="rId4186" Type="http://schemas.openxmlformats.org/officeDocument/2006/relationships/hyperlink" Target="https://en.wikipedia.org/wiki/Ohio" TargetMode="External"/><Relationship Id="rId4189" Type="http://schemas.openxmlformats.org/officeDocument/2006/relationships/hyperlink" Target="https://en.wikipedia.org/wiki/Mahoning_County,_Ohio" TargetMode="External"/><Relationship Id="rId4188" Type="http://schemas.openxmlformats.org/officeDocument/2006/relationships/hyperlink" Target="https://en.wikipedia.org/wiki/Ohio" TargetMode="External"/><Relationship Id="rId1900" Type="http://schemas.openxmlformats.org/officeDocument/2006/relationships/hyperlink" Target="https://en.wikipedia.org/wiki/Kansas" TargetMode="External"/><Relationship Id="rId1901" Type="http://schemas.openxmlformats.org/officeDocument/2006/relationships/hyperlink" Target="https://en.wikipedia.org/wiki/Miami_County,_Kansas" TargetMode="External"/><Relationship Id="rId1902" Type="http://schemas.openxmlformats.org/officeDocument/2006/relationships/hyperlink" Target="https://en.wikipedia.org/wiki/Kansas" TargetMode="External"/><Relationship Id="rId1903" Type="http://schemas.openxmlformats.org/officeDocument/2006/relationships/hyperlink" Target="https://en.wikipedia.org/wiki/Mitchell_County,_Kansas" TargetMode="External"/><Relationship Id="rId1904" Type="http://schemas.openxmlformats.org/officeDocument/2006/relationships/hyperlink" Target="https://en.wikipedia.org/wiki/Kansas" TargetMode="External"/><Relationship Id="rId1905" Type="http://schemas.openxmlformats.org/officeDocument/2006/relationships/hyperlink" Target="https://en.wikipedia.org/wiki/Montgomery_County,_Kansas" TargetMode="External"/><Relationship Id="rId1906" Type="http://schemas.openxmlformats.org/officeDocument/2006/relationships/hyperlink" Target="https://en.wikipedia.org/wiki/Kansas" TargetMode="External"/><Relationship Id="rId1907" Type="http://schemas.openxmlformats.org/officeDocument/2006/relationships/hyperlink" Target="https://en.wikipedia.org/wiki/Morris_County,_Kansas" TargetMode="External"/><Relationship Id="rId1908" Type="http://schemas.openxmlformats.org/officeDocument/2006/relationships/hyperlink" Target="https://en.wikipedia.org/wiki/Kansas" TargetMode="External"/><Relationship Id="rId1909" Type="http://schemas.openxmlformats.org/officeDocument/2006/relationships/hyperlink" Target="https://en.wikipedia.org/wiki/Morton_County,_Kansas" TargetMode="External"/><Relationship Id="rId4170" Type="http://schemas.openxmlformats.org/officeDocument/2006/relationships/hyperlink" Target="https://en.wikipedia.org/wiki/Ohio" TargetMode="External"/><Relationship Id="rId4172" Type="http://schemas.openxmlformats.org/officeDocument/2006/relationships/hyperlink" Target="https://en.wikipedia.org/wiki/Ohio" TargetMode="External"/><Relationship Id="rId4171" Type="http://schemas.openxmlformats.org/officeDocument/2006/relationships/hyperlink" Target="https://en.wikipedia.org/wiki/Jefferson_County,_Ohio" TargetMode="External"/><Relationship Id="rId4174" Type="http://schemas.openxmlformats.org/officeDocument/2006/relationships/hyperlink" Target="https://en.wikipedia.org/wiki/Ohio" TargetMode="External"/><Relationship Id="rId4173" Type="http://schemas.openxmlformats.org/officeDocument/2006/relationships/hyperlink" Target="https://en.wikipedia.org/wiki/Knox_County,_Ohio" TargetMode="External"/><Relationship Id="rId4176" Type="http://schemas.openxmlformats.org/officeDocument/2006/relationships/hyperlink" Target="https://en.wikipedia.org/wiki/Ohio" TargetMode="External"/><Relationship Id="rId4175" Type="http://schemas.openxmlformats.org/officeDocument/2006/relationships/hyperlink" Target="https://en.wikipedia.org/wiki/Lake_County,_Ohio" TargetMode="External"/><Relationship Id="rId4178" Type="http://schemas.openxmlformats.org/officeDocument/2006/relationships/hyperlink" Target="https://en.wikipedia.org/wiki/Ohio" TargetMode="External"/><Relationship Id="rId4177" Type="http://schemas.openxmlformats.org/officeDocument/2006/relationships/hyperlink" Target="https://en.wikipedia.org/wiki/Lawrence_County,_Ohio" TargetMode="External"/><Relationship Id="rId4179" Type="http://schemas.openxmlformats.org/officeDocument/2006/relationships/hyperlink" Target="https://en.wikipedia.org/wiki/Licking_County,_Ohio" TargetMode="External"/><Relationship Id="rId4129" Type="http://schemas.openxmlformats.org/officeDocument/2006/relationships/hyperlink" Target="https://en.wikipedia.org/wiki/Defiance_County,_Ohio" TargetMode="External"/><Relationship Id="rId4128" Type="http://schemas.openxmlformats.org/officeDocument/2006/relationships/hyperlink" Target="https://en.wikipedia.org/wiki/Ohio" TargetMode="External"/><Relationship Id="rId5459" Type="http://schemas.openxmlformats.org/officeDocument/2006/relationships/hyperlink" Target="https://en.wikipedia.org/wiki/San_Patricio_County,_Texas" TargetMode="External"/><Relationship Id="rId5450" Type="http://schemas.openxmlformats.org/officeDocument/2006/relationships/hyperlink" Target="https://en.wikipedia.org/wiki/Texas" TargetMode="External"/><Relationship Id="rId4121" Type="http://schemas.openxmlformats.org/officeDocument/2006/relationships/hyperlink" Target="https://en.wikipedia.org/wiki/Coshocton_County,_Ohio" TargetMode="External"/><Relationship Id="rId5453" Type="http://schemas.openxmlformats.org/officeDocument/2006/relationships/hyperlink" Target="https://en.wikipedia.org/wiki/Sabine_County,_Texas" TargetMode="External"/><Relationship Id="rId4120" Type="http://schemas.openxmlformats.org/officeDocument/2006/relationships/hyperlink" Target="https://en.wikipedia.org/wiki/Ohio" TargetMode="External"/><Relationship Id="rId5454" Type="http://schemas.openxmlformats.org/officeDocument/2006/relationships/hyperlink" Target="https://en.wikipedia.org/wiki/Texas" TargetMode="External"/><Relationship Id="rId4123" Type="http://schemas.openxmlformats.org/officeDocument/2006/relationships/hyperlink" Target="https://en.wikipedia.org/wiki/Crawford_County,_Ohio" TargetMode="External"/><Relationship Id="rId5451" Type="http://schemas.openxmlformats.org/officeDocument/2006/relationships/hyperlink" Target="https://en.wikipedia.org/wiki/Rusk_County,_Texas" TargetMode="External"/><Relationship Id="rId4122" Type="http://schemas.openxmlformats.org/officeDocument/2006/relationships/hyperlink" Target="https://en.wikipedia.org/wiki/Ohio" TargetMode="External"/><Relationship Id="rId5452" Type="http://schemas.openxmlformats.org/officeDocument/2006/relationships/hyperlink" Target="https://en.wikipedia.org/wiki/Texas" TargetMode="External"/><Relationship Id="rId4125" Type="http://schemas.openxmlformats.org/officeDocument/2006/relationships/hyperlink" Target="https://en.wikipedia.org/wiki/Cuyahoga_County,_Ohio" TargetMode="External"/><Relationship Id="rId5457" Type="http://schemas.openxmlformats.org/officeDocument/2006/relationships/hyperlink" Target="https://en.wikipedia.org/wiki/San_Jacinto_County,_Texas" TargetMode="External"/><Relationship Id="rId4124" Type="http://schemas.openxmlformats.org/officeDocument/2006/relationships/hyperlink" Target="https://en.wikipedia.org/wiki/Ohio" TargetMode="External"/><Relationship Id="rId5458" Type="http://schemas.openxmlformats.org/officeDocument/2006/relationships/hyperlink" Target="https://en.wikipedia.org/wiki/Texas" TargetMode="External"/><Relationship Id="rId4127" Type="http://schemas.openxmlformats.org/officeDocument/2006/relationships/hyperlink" Target="https://en.wikipedia.org/wiki/Darke_County,_Ohio" TargetMode="External"/><Relationship Id="rId5455" Type="http://schemas.openxmlformats.org/officeDocument/2006/relationships/hyperlink" Target="https://en.wikipedia.org/wiki/San_Augustine_County,_Texas" TargetMode="External"/><Relationship Id="rId4126" Type="http://schemas.openxmlformats.org/officeDocument/2006/relationships/hyperlink" Target="https://en.wikipedia.org/wiki/Ohio" TargetMode="External"/><Relationship Id="rId5456" Type="http://schemas.openxmlformats.org/officeDocument/2006/relationships/hyperlink" Target="https://en.wikipedia.org/wiki/Texas" TargetMode="External"/><Relationship Id="rId4118" Type="http://schemas.openxmlformats.org/officeDocument/2006/relationships/hyperlink" Target="https://en.wikipedia.org/wiki/Ohio" TargetMode="External"/><Relationship Id="rId4117" Type="http://schemas.openxmlformats.org/officeDocument/2006/relationships/hyperlink" Target="https://en.wikipedia.org/wiki/Clinton_County,_Ohio" TargetMode="External"/><Relationship Id="rId5448" Type="http://schemas.openxmlformats.org/officeDocument/2006/relationships/hyperlink" Target="https://en.wikipedia.org/wiki/Texas" TargetMode="External"/><Relationship Id="rId4119" Type="http://schemas.openxmlformats.org/officeDocument/2006/relationships/hyperlink" Target="https://en.wikipedia.org/wiki/Columbiana_County,_Ohio" TargetMode="External"/><Relationship Id="rId5449" Type="http://schemas.openxmlformats.org/officeDocument/2006/relationships/hyperlink" Target="https://en.wikipedia.org/wiki/Runnels_County,_Texas" TargetMode="External"/><Relationship Id="rId4110" Type="http://schemas.openxmlformats.org/officeDocument/2006/relationships/hyperlink" Target="https://en.wikipedia.org/wiki/Ohio" TargetMode="External"/><Relationship Id="rId5442" Type="http://schemas.openxmlformats.org/officeDocument/2006/relationships/hyperlink" Target="https://en.wikipedia.org/wiki/Texas" TargetMode="External"/><Relationship Id="rId5443" Type="http://schemas.openxmlformats.org/officeDocument/2006/relationships/hyperlink" Target="https://en.wikipedia.org/wiki/Roberts_County,_Texas" TargetMode="External"/><Relationship Id="rId4112" Type="http://schemas.openxmlformats.org/officeDocument/2006/relationships/hyperlink" Target="https://en.wikipedia.org/wiki/Ohio" TargetMode="External"/><Relationship Id="rId5440" Type="http://schemas.openxmlformats.org/officeDocument/2006/relationships/hyperlink" Target="https://en.wikipedia.org/wiki/Texas" TargetMode="External"/><Relationship Id="rId4111" Type="http://schemas.openxmlformats.org/officeDocument/2006/relationships/hyperlink" Target="https://en.wikipedia.org/wiki/Champaign_County,_Ohio" TargetMode="External"/><Relationship Id="rId5441" Type="http://schemas.openxmlformats.org/officeDocument/2006/relationships/hyperlink" Target="https://en.wikipedia.org/wiki/Refugio_County,_Texas" TargetMode="External"/><Relationship Id="rId4114" Type="http://schemas.openxmlformats.org/officeDocument/2006/relationships/hyperlink" Target="https://en.wikipedia.org/wiki/Ohio" TargetMode="External"/><Relationship Id="rId5446" Type="http://schemas.openxmlformats.org/officeDocument/2006/relationships/hyperlink" Target="https://en.wikipedia.org/wiki/Texas" TargetMode="External"/><Relationship Id="rId4113" Type="http://schemas.openxmlformats.org/officeDocument/2006/relationships/hyperlink" Target="https://en.wikipedia.org/wiki/Clark_County,_Ohio" TargetMode="External"/><Relationship Id="rId5447" Type="http://schemas.openxmlformats.org/officeDocument/2006/relationships/hyperlink" Target="https://en.wikipedia.org/wiki/Rockwall_County,_Texas" TargetMode="External"/><Relationship Id="rId4116" Type="http://schemas.openxmlformats.org/officeDocument/2006/relationships/hyperlink" Target="https://en.wikipedia.org/wiki/Ohio" TargetMode="External"/><Relationship Id="rId5444" Type="http://schemas.openxmlformats.org/officeDocument/2006/relationships/hyperlink" Target="https://en.wikipedia.org/wiki/Texas" TargetMode="External"/><Relationship Id="rId4115" Type="http://schemas.openxmlformats.org/officeDocument/2006/relationships/hyperlink" Target="https://en.wikipedia.org/wiki/Clermont_County,_Ohio" TargetMode="External"/><Relationship Id="rId5445" Type="http://schemas.openxmlformats.org/officeDocument/2006/relationships/hyperlink" Target="https://en.wikipedia.org/wiki/Robertson_County,_Texas" TargetMode="External"/><Relationship Id="rId5471" Type="http://schemas.openxmlformats.org/officeDocument/2006/relationships/hyperlink" Target="https://en.wikipedia.org/wiki/Sherman_County,_Texas" TargetMode="External"/><Relationship Id="rId5472" Type="http://schemas.openxmlformats.org/officeDocument/2006/relationships/hyperlink" Target="https://en.wikipedia.org/wiki/Texas" TargetMode="External"/><Relationship Id="rId4141" Type="http://schemas.openxmlformats.org/officeDocument/2006/relationships/hyperlink" Target="https://en.wikipedia.org/wiki/Fulton_County,_Ohio" TargetMode="External"/><Relationship Id="rId4140" Type="http://schemas.openxmlformats.org/officeDocument/2006/relationships/hyperlink" Target="https://en.wikipedia.org/wiki/Ohio" TargetMode="External"/><Relationship Id="rId5470" Type="http://schemas.openxmlformats.org/officeDocument/2006/relationships/hyperlink" Target="https://en.wikipedia.org/wiki/Texas" TargetMode="External"/><Relationship Id="rId4143" Type="http://schemas.openxmlformats.org/officeDocument/2006/relationships/hyperlink" Target="https://en.wikipedia.org/wiki/Gallia_County,_Ohio" TargetMode="External"/><Relationship Id="rId5475" Type="http://schemas.openxmlformats.org/officeDocument/2006/relationships/hyperlink" Target="https://en.wikipedia.org/wiki/Somervell_County,_Texas" TargetMode="External"/><Relationship Id="rId4142" Type="http://schemas.openxmlformats.org/officeDocument/2006/relationships/hyperlink" Target="https://en.wikipedia.org/wiki/Ohio" TargetMode="External"/><Relationship Id="rId5476" Type="http://schemas.openxmlformats.org/officeDocument/2006/relationships/hyperlink" Target="https://en.wikipedia.org/wiki/Texas" TargetMode="External"/><Relationship Id="rId4145" Type="http://schemas.openxmlformats.org/officeDocument/2006/relationships/hyperlink" Target="https://en.wikipedia.org/wiki/Geauga_County,_Ohio" TargetMode="External"/><Relationship Id="rId5473" Type="http://schemas.openxmlformats.org/officeDocument/2006/relationships/hyperlink" Target="https://en.wikipedia.org/wiki/Smith_County,_Texas" TargetMode="External"/><Relationship Id="rId4144" Type="http://schemas.openxmlformats.org/officeDocument/2006/relationships/hyperlink" Target="https://en.wikipedia.org/wiki/Ohio" TargetMode="External"/><Relationship Id="rId5474" Type="http://schemas.openxmlformats.org/officeDocument/2006/relationships/hyperlink" Target="https://en.wikipedia.org/wiki/Texas" TargetMode="External"/><Relationship Id="rId4147" Type="http://schemas.openxmlformats.org/officeDocument/2006/relationships/hyperlink" Target="https://en.wikipedia.org/wiki/Greene_County,_Ohio" TargetMode="External"/><Relationship Id="rId5479" Type="http://schemas.openxmlformats.org/officeDocument/2006/relationships/hyperlink" Target="https://en.wikipedia.org/wiki/Stephens_County,_Texas" TargetMode="External"/><Relationship Id="rId4146" Type="http://schemas.openxmlformats.org/officeDocument/2006/relationships/hyperlink" Target="https://en.wikipedia.org/wiki/Ohio" TargetMode="External"/><Relationship Id="rId4149" Type="http://schemas.openxmlformats.org/officeDocument/2006/relationships/hyperlink" Target="https://en.wikipedia.org/wiki/Guernsey_County,_Ohio" TargetMode="External"/><Relationship Id="rId5477" Type="http://schemas.openxmlformats.org/officeDocument/2006/relationships/hyperlink" Target="https://en.wikipedia.org/wiki/Starr_County,_Texas" TargetMode="External"/><Relationship Id="rId4148" Type="http://schemas.openxmlformats.org/officeDocument/2006/relationships/hyperlink" Target="https://en.wikipedia.org/wiki/Ohio" TargetMode="External"/><Relationship Id="rId5478" Type="http://schemas.openxmlformats.org/officeDocument/2006/relationships/hyperlink" Target="https://en.wikipedia.org/wiki/Texas" TargetMode="External"/><Relationship Id="rId4139" Type="http://schemas.openxmlformats.org/officeDocument/2006/relationships/hyperlink" Target="https://en.wikipedia.org/wiki/Franklin_County,_Ohio" TargetMode="External"/><Relationship Id="rId5460" Type="http://schemas.openxmlformats.org/officeDocument/2006/relationships/hyperlink" Target="https://en.wikipedia.org/wiki/Texas" TargetMode="External"/><Relationship Id="rId5461" Type="http://schemas.openxmlformats.org/officeDocument/2006/relationships/hyperlink" Target="https://en.wikipedia.org/wiki/San_Saba_County,_Texas" TargetMode="External"/><Relationship Id="rId4130" Type="http://schemas.openxmlformats.org/officeDocument/2006/relationships/hyperlink" Target="https://en.wikipedia.org/wiki/Ohio" TargetMode="External"/><Relationship Id="rId4132" Type="http://schemas.openxmlformats.org/officeDocument/2006/relationships/hyperlink" Target="https://en.wikipedia.org/wiki/Ohio" TargetMode="External"/><Relationship Id="rId5464" Type="http://schemas.openxmlformats.org/officeDocument/2006/relationships/hyperlink" Target="https://en.wikipedia.org/wiki/Texas" TargetMode="External"/><Relationship Id="rId4131" Type="http://schemas.openxmlformats.org/officeDocument/2006/relationships/hyperlink" Target="https://en.wikipedia.org/wiki/Delaware_County,_Ohio" TargetMode="External"/><Relationship Id="rId5465" Type="http://schemas.openxmlformats.org/officeDocument/2006/relationships/hyperlink" Target="https://en.wikipedia.org/wiki/Scurry_County,_Texas" TargetMode="External"/><Relationship Id="rId4134" Type="http://schemas.openxmlformats.org/officeDocument/2006/relationships/hyperlink" Target="https://en.wikipedia.org/wiki/Ohio" TargetMode="External"/><Relationship Id="rId5462" Type="http://schemas.openxmlformats.org/officeDocument/2006/relationships/hyperlink" Target="https://en.wikipedia.org/wiki/Texas" TargetMode="External"/><Relationship Id="rId4133" Type="http://schemas.openxmlformats.org/officeDocument/2006/relationships/hyperlink" Target="https://en.wikipedia.org/wiki/Erie_County,_Ohio" TargetMode="External"/><Relationship Id="rId5463" Type="http://schemas.openxmlformats.org/officeDocument/2006/relationships/hyperlink" Target="https://en.wikipedia.org/wiki/Schleicher_County,_Texas" TargetMode="External"/><Relationship Id="rId4136" Type="http://schemas.openxmlformats.org/officeDocument/2006/relationships/hyperlink" Target="https://en.wikipedia.org/wiki/Ohio" TargetMode="External"/><Relationship Id="rId5468" Type="http://schemas.openxmlformats.org/officeDocument/2006/relationships/hyperlink" Target="https://en.wikipedia.org/wiki/Texas" TargetMode="External"/><Relationship Id="rId4135" Type="http://schemas.openxmlformats.org/officeDocument/2006/relationships/hyperlink" Target="https://en.wikipedia.org/wiki/Fairfield_County,_Ohio" TargetMode="External"/><Relationship Id="rId5469" Type="http://schemas.openxmlformats.org/officeDocument/2006/relationships/hyperlink" Target="https://en.wikipedia.org/wiki/Shelby_County,_Texas" TargetMode="External"/><Relationship Id="rId4138" Type="http://schemas.openxmlformats.org/officeDocument/2006/relationships/hyperlink" Target="https://en.wikipedia.org/wiki/Ohio" TargetMode="External"/><Relationship Id="rId5466" Type="http://schemas.openxmlformats.org/officeDocument/2006/relationships/hyperlink" Target="https://en.wikipedia.org/wiki/Texas" TargetMode="External"/><Relationship Id="rId4137" Type="http://schemas.openxmlformats.org/officeDocument/2006/relationships/hyperlink" Target="https://en.wikipedia.org/wiki/Fayette_County,_Ohio" TargetMode="External"/><Relationship Id="rId5467" Type="http://schemas.openxmlformats.org/officeDocument/2006/relationships/hyperlink" Target="https://en.wikipedia.org/wiki/Shackelford_County,_Texas" TargetMode="External"/><Relationship Id="rId1972" Type="http://schemas.openxmlformats.org/officeDocument/2006/relationships/hyperlink" Target="https://en.wikipedia.org/wiki/Kansas" TargetMode="External"/><Relationship Id="rId1973" Type="http://schemas.openxmlformats.org/officeDocument/2006/relationships/hyperlink" Target="https://en.wikipedia.org/wiki/Thomas_County,_Kansas" TargetMode="External"/><Relationship Id="rId1974" Type="http://schemas.openxmlformats.org/officeDocument/2006/relationships/hyperlink" Target="https://en.wikipedia.org/wiki/Kansas" TargetMode="External"/><Relationship Id="rId1975" Type="http://schemas.openxmlformats.org/officeDocument/2006/relationships/hyperlink" Target="https://en.wikipedia.org/wiki/Trego_County,_Kansas" TargetMode="External"/><Relationship Id="rId1976" Type="http://schemas.openxmlformats.org/officeDocument/2006/relationships/hyperlink" Target="https://en.wikipedia.org/wiki/Kansas" TargetMode="External"/><Relationship Id="rId1977" Type="http://schemas.openxmlformats.org/officeDocument/2006/relationships/hyperlink" Target="https://en.wikipedia.org/wiki/Wabaunsee_County,_Kansas" TargetMode="External"/><Relationship Id="rId1978" Type="http://schemas.openxmlformats.org/officeDocument/2006/relationships/hyperlink" Target="https://en.wikipedia.org/wiki/Kansas" TargetMode="External"/><Relationship Id="rId1979" Type="http://schemas.openxmlformats.org/officeDocument/2006/relationships/hyperlink" Target="https://en.wikipedia.org/wiki/Wallace_County,_Kansas" TargetMode="External"/><Relationship Id="rId1970" Type="http://schemas.openxmlformats.org/officeDocument/2006/relationships/hyperlink" Target="https://en.wikipedia.org/wiki/Kansas" TargetMode="External"/><Relationship Id="rId1971" Type="http://schemas.openxmlformats.org/officeDocument/2006/relationships/hyperlink" Target="https://en.wikipedia.org/wiki/Sumner_County,_Kansas" TargetMode="External"/><Relationship Id="rId1961" Type="http://schemas.openxmlformats.org/officeDocument/2006/relationships/hyperlink" Target="https://en.wikipedia.org/wiki/Sherman_County,_Kansas" TargetMode="External"/><Relationship Id="rId1962" Type="http://schemas.openxmlformats.org/officeDocument/2006/relationships/hyperlink" Target="https://en.wikipedia.org/wiki/Kansas" TargetMode="External"/><Relationship Id="rId1963" Type="http://schemas.openxmlformats.org/officeDocument/2006/relationships/hyperlink" Target="https://en.wikipedia.org/wiki/Smith_County,_Kansas" TargetMode="External"/><Relationship Id="rId1964" Type="http://schemas.openxmlformats.org/officeDocument/2006/relationships/hyperlink" Target="https://en.wikipedia.org/wiki/Kansas" TargetMode="External"/><Relationship Id="rId1965" Type="http://schemas.openxmlformats.org/officeDocument/2006/relationships/hyperlink" Target="https://en.wikipedia.org/wiki/Stafford_County,_Kansas" TargetMode="External"/><Relationship Id="rId1966" Type="http://schemas.openxmlformats.org/officeDocument/2006/relationships/hyperlink" Target="https://en.wikipedia.org/wiki/Kansas" TargetMode="External"/><Relationship Id="rId1967" Type="http://schemas.openxmlformats.org/officeDocument/2006/relationships/hyperlink" Target="https://en.wikipedia.org/wiki/Stanton_County,_Kansas" TargetMode="External"/><Relationship Id="rId1968" Type="http://schemas.openxmlformats.org/officeDocument/2006/relationships/hyperlink" Target="https://en.wikipedia.org/wiki/Kansas" TargetMode="External"/><Relationship Id="rId1969" Type="http://schemas.openxmlformats.org/officeDocument/2006/relationships/hyperlink" Target="https://en.wikipedia.org/wiki/Stevens_County,_Kansas" TargetMode="External"/><Relationship Id="rId1960" Type="http://schemas.openxmlformats.org/officeDocument/2006/relationships/hyperlink" Target="https://en.wikipedia.org/wiki/Kansas" TargetMode="External"/><Relationship Id="rId1994" Type="http://schemas.openxmlformats.org/officeDocument/2006/relationships/hyperlink" Target="https://en.wikipedia.org/wiki/Kentucky" TargetMode="External"/><Relationship Id="rId1995" Type="http://schemas.openxmlformats.org/officeDocument/2006/relationships/hyperlink" Target="https://en.wikipedia.org/wiki/Anderson_County,_Kentucky" TargetMode="External"/><Relationship Id="rId1996" Type="http://schemas.openxmlformats.org/officeDocument/2006/relationships/hyperlink" Target="https://en.wikipedia.org/wiki/Kentucky" TargetMode="External"/><Relationship Id="rId1997" Type="http://schemas.openxmlformats.org/officeDocument/2006/relationships/hyperlink" Target="https://en.wikipedia.org/wiki/Ballard_County,_Kentucky" TargetMode="External"/><Relationship Id="rId1998" Type="http://schemas.openxmlformats.org/officeDocument/2006/relationships/hyperlink" Target="https://en.wikipedia.org/wiki/Kentucky" TargetMode="External"/><Relationship Id="rId1999" Type="http://schemas.openxmlformats.org/officeDocument/2006/relationships/hyperlink" Target="https://en.wikipedia.org/wiki/Barren_County,_Kentucky" TargetMode="External"/><Relationship Id="rId1990" Type="http://schemas.openxmlformats.org/officeDocument/2006/relationships/hyperlink" Target="https://en.wikipedia.org/wiki/Kentucky" TargetMode="External"/><Relationship Id="rId1991" Type="http://schemas.openxmlformats.org/officeDocument/2006/relationships/hyperlink" Target="https://en.wikipedia.org/wiki/Adair_County,_Kentucky" TargetMode="External"/><Relationship Id="rId1992" Type="http://schemas.openxmlformats.org/officeDocument/2006/relationships/hyperlink" Target="https://en.wikipedia.org/wiki/Kentucky" TargetMode="External"/><Relationship Id="rId1993" Type="http://schemas.openxmlformats.org/officeDocument/2006/relationships/hyperlink" Target="https://en.wikipedia.org/wiki/Allen_County,_Kentucky" TargetMode="External"/><Relationship Id="rId1983" Type="http://schemas.openxmlformats.org/officeDocument/2006/relationships/hyperlink" Target="https://en.wikipedia.org/wiki/Wichita_County,_Kansas" TargetMode="External"/><Relationship Id="rId1984" Type="http://schemas.openxmlformats.org/officeDocument/2006/relationships/hyperlink" Target="https://en.wikipedia.org/wiki/Kansas" TargetMode="External"/><Relationship Id="rId1985" Type="http://schemas.openxmlformats.org/officeDocument/2006/relationships/hyperlink" Target="https://en.wikipedia.org/wiki/Wilson_County,_Kansas" TargetMode="External"/><Relationship Id="rId1986" Type="http://schemas.openxmlformats.org/officeDocument/2006/relationships/hyperlink" Target="https://en.wikipedia.org/wiki/Kansas" TargetMode="External"/><Relationship Id="rId1987" Type="http://schemas.openxmlformats.org/officeDocument/2006/relationships/hyperlink" Target="https://en.wikipedia.org/wiki/Woodson_County,_Kansas" TargetMode="External"/><Relationship Id="rId1988" Type="http://schemas.openxmlformats.org/officeDocument/2006/relationships/hyperlink" Target="https://en.wikipedia.org/wiki/Kansas" TargetMode="External"/><Relationship Id="rId1989" Type="http://schemas.openxmlformats.org/officeDocument/2006/relationships/hyperlink" Target="https://en.wikipedia.org/wiki/Wyandotte_County,_Kansas" TargetMode="External"/><Relationship Id="rId1980" Type="http://schemas.openxmlformats.org/officeDocument/2006/relationships/hyperlink" Target="https://en.wikipedia.org/wiki/Kansas" TargetMode="External"/><Relationship Id="rId1981" Type="http://schemas.openxmlformats.org/officeDocument/2006/relationships/hyperlink" Target="https://en.wikipedia.org/wiki/Washington_County,_Kansas" TargetMode="External"/><Relationship Id="rId1982" Type="http://schemas.openxmlformats.org/officeDocument/2006/relationships/hyperlink" Target="https://en.wikipedia.org/wiki/Kansas" TargetMode="External"/><Relationship Id="rId1930" Type="http://schemas.openxmlformats.org/officeDocument/2006/relationships/hyperlink" Target="https://en.wikipedia.org/wiki/Kansas" TargetMode="External"/><Relationship Id="rId1931" Type="http://schemas.openxmlformats.org/officeDocument/2006/relationships/hyperlink" Target="https://en.wikipedia.org/wiki/Pratt_County,_Kansas" TargetMode="External"/><Relationship Id="rId1932" Type="http://schemas.openxmlformats.org/officeDocument/2006/relationships/hyperlink" Target="https://en.wikipedia.org/wiki/Kansas" TargetMode="External"/><Relationship Id="rId1933" Type="http://schemas.openxmlformats.org/officeDocument/2006/relationships/hyperlink" Target="https://en.wikipedia.org/wiki/Rawlins_County,_Kansas" TargetMode="External"/><Relationship Id="rId1934" Type="http://schemas.openxmlformats.org/officeDocument/2006/relationships/hyperlink" Target="https://en.wikipedia.org/wiki/Kansas" TargetMode="External"/><Relationship Id="rId1935" Type="http://schemas.openxmlformats.org/officeDocument/2006/relationships/hyperlink" Target="https://en.wikipedia.org/wiki/Reno_County,_Kansas" TargetMode="External"/><Relationship Id="rId1936" Type="http://schemas.openxmlformats.org/officeDocument/2006/relationships/hyperlink" Target="https://en.wikipedia.org/wiki/Kansas" TargetMode="External"/><Relationship Id="rId1937" Type="http://schemas.openxmlformats.org/officeDocument/2006/relationships/hyperlink" Target="https://en.wikipedia.org/wiki/Republic_County,_Kansas" TargetMode="External"/><Relationship Id="rId1938" Type="http://schemas.openxmlformats.org/officeDocument/2006/relationships/hyperlink" Target="https://en.wikipedia.org/wiki/Kansas" TargetMode="External"/><Relationship Id="rId1939" Type="http://schemas.openxmlformats.org/officeDocument/2006/relationships/hyperlink" Target="https://en.wikipedia.org/wiki/Rice_County,_Kansas" TargetMode="External"/><Relationship Id="rId1920" Type="http://schemas.openxmlformats.org/officeDocument/2006/relationships/hyperlink" Target="https://en.wikipedia.org/wiki/Kansas" TargetMode="External"/><Relationship Id="rId1921" Type="http://schemas.openxmlformats.org/officeDocument/2006/relationships/hyperlink" Target="https://en.wikipedia.org/wiki/Osborne_County,_Kansas" TargetMode="External"/><Relationship Id="rId1922" Type="http://schemas.openxmlformats.org/officeDocument/2006/relationships/hyperlink" Target="https://en.wikipedia.org/wiki/Kansas" TargetMode="External"/><Relationship Id="rId1923" Type="http://schemas.openxmlformats.org/officeDocument/2006/relationships/hyperlink" Target="https://en.wikipedia.org/wiki/Ottawa_County,_Kansas" TargetMode="External"/><Relationship Id="rId1924" Type="http://schemas.openxmlformats.org/officeDocument/2006/relationships/hyperlink" Target="https://en.wikipedia.org/wiki/Kansas" TargetMode="External"/><Relationship Id="rId1925" Type="http://schemas.openxmlformats.org/officeDocument/2006/relationships/hyperlink" Target="https://en.wikipedia.org/wiki/Pawnee_County,_Kansas" TargetMode="External"/><Relationship Id="rId1926" Type="http://schemas.openxmlformats.org/officeDocument/2006/relationships/hyperlink" Target="https://en.wikipedia.org/wiki/Kansas" TargetMode="External"/><Relationship Id="rId1927" Type="http://schemas.openxmlformats.org/officeDocument/2006/relationships/hyperlink" Target="https://en.wikipedia.org/wiki/Phillips_County,_Kansas" TargetMode="External"/><Relationship Id="rId1928" Type="http://schemas.openxmlformats.org/officeDocument/2006/relationships/hyperlink" Target="https://en.wikipedia.org/wiki/Kansas" TargetMode="External"/><Relationship Id="rId1929" Type="http://schemas.openxmlformats.org/officeDocument/2006/relationships/hyperlink" Target="https://en.wikipedia.org/wiki/Pottawatomie_County,_Kansas" TargetMode="External"/><Relationship Id="rId4190" Type="http://schemas.openxmlformats.org/officeDocument/2006/relationships/hyperlink" Target="https://en.wikipedia.org/wiki/Ohio" TargetMode="External"/><Relationship Id="rId4192" Type="http://schemas.openxmlformats.org/officeDocument/2006/relationships/hyperlink" Target="https://en.wikipedia.org/wiki/Ohio" TargetMode="External"/><Relationship Id="rId4191" Type="http://schemas.openxmlformats.org/officeDocument/2006/relationships/hyperlink" Target="https://en.wikipedia.org/wiki/Marion_County,_Ohio" TargetMode="External"/><Relationship Id="rId4194" Type="http://schemas.openxmlformats.org/officeDocument/2006/relationships/hyperlink" Target="https://en.wikipedia.org/wiki/Ohio" TargetMode="External"/><Relationship Id="rId4193" Type="http://schemas.openxmlformats.org/officeDocument/2006/relationships/hyperlink" Target="https://en.wikipedia.org/wiki/Medina_County,_Ohio" TargetMode="External"/><Relationship Id="rId4196" Type="http://schemas.openxmlformats.org/officeDocument/2006/relationships/hyperlink" Target="https://en.wikipedia.org/wiki/Ohio" TargetMode="External"/><Relationship Id="rId4195" Type="http://schemas.openxmlformats.org/officeDocument/2006/relationships/hyperlink" Target="https://en.wikipedia.org/wiki/Meigs_County,_Ohio" TargetMode="External"/><Relationship Id="rId4198" Type="http://schemas.openxmlformats.org/officeDocument/2006/relationships/hyperlink" Target="https://en.wikipedia.org/wiki/Ohio" TargetMode="External"/><Relationship Id="rId4197" Type="http://schemas.openxmlformats.org/officeDocument/2006/relationships/hyperlink" Target="https://en.wikipedia.org/wiki/Mercer_County,_Ohio" TargetMode="External"/><Relationship Id="rId4199" Type="http://schemas.openxmlformats.org/officeDocument/2006/relationships/hyperlink" Target="https://en.wikipedia.org/wiki/Miami_County,_Ohio" TargetMode="External"/><Relationship Id="rId1950" Type="http://schemas.openxmlformats.org/officeDocument/2006/relationships/hyperlink" Target="https://en.wikipedia.org/wiki/Kansas" TargetMode="External"/><Relationship Id="rId1951" Type="http://schemas.openxmlformats.org/officeDocument/2006/relationships/hyperlink" Target="https://en.wikipedia.org/wiki/Scott_County,_Kansas" TargetMode="External"/><Relationship Id="rId1952" Type="http://schemas.openxmlformats.org/officeDocument/2006/relationships/hyperlink" Target="https://en.wikipedia.org/wiki/Kansas" TargetMode="External"/><Relationship Id="rId1953" Type="http://schemas.openxmlformats.org/officeDocument/2006/relationships/hyperlink" Target="https://en.wikipedia.org/wiki/Sedgwick_County,_Kansas" TargetMode="External"/><Relationship Id="rId1954" Type="http://schemas.openxmlformats.org/officeDocument/2006/relationships/hyperlink" Target="https://en.wikipedia.org/wiki/Kansas" TargetMode="External"/><Relationship Id="rId1955" Type="http://schemas.openxmlformats.org/officeDocument/2006/relationships/hyperlink" Target="https://en.wikipedia.org/wiki/Seward_County,_Kansas" TargetMode="External"/><Relationship Id="rId1956" Type="http://schemas.openxmlformats.org/officeDocument/2006/relationships/hyperlink" Target="https://en.wikipedia.org/wiki/Kansas" TargetMode="External"/><Relationship Id="rId1957" Type="http://schemas.openxmlformats.org/officeDocument/2006/relationships/hyperlink" Target="https://en.wikipedia.org/wiki/Shawnee_County,_Kansas" TargetMode="External"/><Relationship Id="rId1958" Type="http://schemas.openxmlformats.org/officeDocument/2006/relationships/hyperlink" Target="https://en.wikipedia.org/wiki/Kansas" TargetMode="External"/><Relationship Id="rId1959" Type="http://schemas.openxmlformats.org/officeDocument/2006/relationships/hyperlink" Target="https://en.wikipedia.org/wiki/Sheridan_County,_Kansas" TargetMode="External"/><Relationship Id="rId1940" Type="http://schemas.openxmlformats.org/officeDocument/2006/relationships/hyperlink" Target="https://en.wikipedia.org/wiki/Kansas" TargetMode="External"/><Relationship Id="rId1941" Type="http://schemas.openxmlformats.org/officeDocument/2006/relationships/hyperlink" Target="https://en.wikipedia.org/wiki/Riley_County,_Kansas" TargetMode="External"/><Relationship Id="rId1942" Type="http://schemas.openxmlformats.org/officeDocument/2006/relationships/hyperlink" Target="https://en.wikipedia.org/wiki/Kansas" TargetMode="External"/><Relationship Id="rId1943" Type="http://schemas.openxmlformats.org/officeDocument/2006/relationships/hyperlink" Target="https://en.wikipedia.org/wiki/Rooks_County,_Kansas" TargetMode="External"/><Relationship Id="rId1944" Type="http://schemas.openxmlformats.org/officeDocument/2006/relationships/hyperlink" Target="https://en.wikipedia.org/wiki/Kansas" TargetMode="External"/><Relationship Id="rId1945" Type="http://schemas.openxmlformats.org/officeDocument/2006/relationships/hyperlink" Target="https://en.wikipedia.org/wiki/Rush_County,_Kansas" TargetMode="External"/><Relationship Id="rId1946" Type="http://schemas.openxmlformats.org/officeDocument/2006/relationships/hyperlink" Target="https://en.wikipedia.org/wiki/Kansas" TargetMode="External"/><Relationship Id="rId1947" Type="http://schemas.openxmlformats.org/officeDocument/2006/relationships/hyperlink" Target="https://en.wikipedia.org/wiki/Russell_County,_Kansas" TargetMode="External"/><Relationship Id="rId1948" Type="http://schemas.openxmlformats.org/officeDocument/2006/relationships/hyperlink" Target="https://en.wikipedia.org/wiki/Kansas" TargetMode="External"/><Relationship Id="rId1949" Type="http://schemas.openxmlformats.org/officeDocument/2006/relationships/hyperlink" Target="https://en.wikipedia.org/wiki/Saline_County,_Kansas" TargetMode="External"/><Relationship Id="rId509" Type="http://schemas.openxmlformats.org/officeDocument/2006/relationships/hyperlink" Target="https://en.wikipedia.org/wiki/Chaffee_County,_Colorado" TargetMode="External"/><Relationship Id="rId508" Type="http://schemas.openxmlformats.org/officeDocument/2006/relationships/hyperlink" Target="https://en.wikipedia.org/wiki/Colorado" TargetMode="External"/><Relationship Id="rId503" Type="http://schemas.openxmlformats.org/officeDocument/2006/relationships/hyperlink" Target="https://en.wikipedia.org/wiki/Bent_County,_Colorado" TargetMode="External"/><Relationship Id="rId502" Type="http://schemas.openxmlformats.org/officeDocument/2006/relationships/hyperlink" Target="https://en.wikipedia.org/wiki/Colorado" TargetMode="External"/><Relationship Id="rId501" Type="http://schemas.openxmlformats.org/officeDocument/2006/relationships/hyperlink" Target="https://en.wikipedia.org/wiki/Baca_County,_Colorado" TargetMode="External"/><Relationship Id="rId500" Type="http://schemas.openxmlformats.org/officeDocument/2006/relationships/hyperlink" Target="https://en.wikipedia.org/wiki/Colorado" TargetMode="External"/><Relationship Id="rId507" Type="http://schemas.openxmlformats.org/officeDocument/2006/relationships/hyperlink" Target="https://en.wikipedia.org/wiki/Broomfield_County,_Colorado" TargetMode="External"/><Relationship Id="rId506" Type="http://schemas.openxmlformats.org/officeDocument/2006/relationships/hyperlink" Target="https://en.wikipedia.org/wiki/Colorado" TargetMode="External"/><Relationship Id="rId505" Type="http://schemas.openxmlformats.org/officeDocument/2006/relationships/hyperlink" Target="https://en.wikipedia.org/wiki/Boulder_County,_Colorado" TargetMode="External"/><Relationship Id="rId504" Type="http://schemas.openxmlformats.org/officeDocument/2006/relationships/hyperlink" Target="https://en.wikipedia.org/wiki/Colorado" TargetMode="External"/><Relationship Id="rId525" Type="http://schemas.openxmlformats.org/officeDocument/2006/relationships/hyperlink" Target="https://en.wikipedia.org/wiki/Denver_County,_Colorado" TargetMode="External"/><Relationship Id="rId524" Type="http://schemas.openxmlformats.org/officeDocument/2006/relationships/hyperlink" Target="https://en.wikipedia.org/wiki/Colorado" TargetMode="External"/><Relationship Id="rId523" Type="http://schemas.openxmlformats.org/officeDocument/2006/relationships/hyperlink" Target="https://en.wikipedia.org/wiki/Delta_County,_Colorado" TargetMode="External"/><Relationship Id="rId522" Type="http://schemas.openxmlformats.org/officeDocument/2006/relationships/hyperlink" Target="https://en.wikipedia.org/wiki/Colorado" TargetMode="External"/><Relationship Id="rId529" Type="http://schemas.openxmlformats.org/officeDocument/2006/relationships/hyperlink" Target="https://en.wikipedia.org/wiki/Douglas_County,_Colorado" TargetMode="External"/><Relationship Id="rId528" Type="http://schemas.openxmlformats.org/officeDocument/2006/relationships/hyperlink" Target="https://en.wikipedia.org/wiki/Colorado" TargetMode="External"/><Relationship Id="rId527" Type="http://schemas.openxmlformats.org/officeDocument/2006/relationships/hyperlink" Target="https://en.wikipedia.org/wiki/Dolores_County,_Colorado" TargetMode="External"/><Relationship Id="rId526" Type="http://schemas.openxmlformats.org/officeDocument/2006/relationships/hyperlink" Target="https://en.wikipedia.org/wiki/Colorado" TargetMode="External"/><Relationship Id="rId521" Type="http://schemas.openxmlformats.org/officeDocument/2006/relationships/hyperlink" Target="https://en.wikipedia.org/wiki/Custer_County,_Colorado" TargetMode="External"/><Relationship Id="rId520" Type="http://schemas.openxmlformats.org/officeDocument/2006/relationships/hyperlink" Target="https://en.wikipedia.org/wiki/Colorado" TargetMode="External"/><Relationship Id="rId519" Type="http://schemas.openxmlformats.org/officeDocument/2006/relationships/hyperlink" Target="https://en.wikipedia.org/wiki/Crowley_County,_Colorado" TargetMode="External"/><Relationship Id="rId514" Type="http://schemas.openxmlformats.org/officeDocument/2006/relationships/hyperlink" Target="https://en.wikipedia.org/wiki/Colorado" TargetMode="External"/><Relationship Id="rId513" Type="http://schemas.openxmlformats.org/officeDocument/2006/relationships/hyperlink" Target="https://en.wikipedia.org/wiki/Clear_Creek_County,_Colorado" TargetMode="External"/><Relationship Id="rId512" Type="http://schemas.openxmlformats.org/officeDocument/2006/relationships/hyperlink" Target="https://en.wikipedia.org/wiki/Colorado" TargetMode="External"/><Relationship Id="rId511" Type="http://schemas.openxmlformats.org/officeDocument/2006/relationships/hyperlink" Target="https://en.wikipedia.org/wiki/Cheyenne_County,_Colorado" TargetMode="External"/><Relationship Id="rId518" Type="http://schemas.openxmlformats.org/officeDocument/2006/relationships/hyperlink" Target="https://en.wikipedia.org/wiki/Colorado" TargetMode="External"/><Relationship Id="rId517" Type="http://schemas.openxmlformats.org/officeDocument/2006/relationships/hyperlink" Target="https://en.wikipedia.org/wiki/Costilla_County,_Colorado" TargetMode="External"/><Relationship Id="rId516" Type="http://schemas.openxmlformats.org/officeDocument/2006/relationships/hyperlink" Target="https://en.wikipedia.org/wiki/Colorado" TargetMode="External"/><Relationship Id="rId515" Type="http://schemas.openxmlformats.org/officeDocument/2006/relationships/hyperlink" Target="https://en.wikipedia.org/wiki/Conejos_County,_Colorado" TargetMode="External"/><Relationship Id="rId510" Type="http://schemas.openxmlformats.org/officeDocument/2006/relationships/hyperlink" Target="https://en.wikipedia.org/wiki/Colorado" TargetMode="External"/><Relationship Id="rId4206" Type="http://schemas.openxmlformats.org/officeDocument/2006/relationships/hyperlink" Target="https://en.wikipedia.org/wiki/Ohio" TargetMode="External"/><Relationship Id="rId5538" Type="http://schemas.openxmlformats.org/officeDocument/2006/relationships/hyperlink" Target="https://en.wikipedia.org/wiki/Texas" TargetMode="External"/><Relationship Id="rId4205" Type="http://schemas.openxmlformats.org/officeDocument/2006/relationships/hyperlink" Target="https://en.wikipedia.org/wiki/Morgan_County,_Ohio" TargetMode="External"/><Relationship Id="rId5539" Type="http://schemas.openxmlformats.org/officeDocument/2006/relationships/hyperlink" Target="https://en.wikipedia.org/wiki/Willacy_County,_Texas" TargetMode="External"/><Relationship Id="rId4208" Type="http://schemas.openxmlformats.org/officeDocument/2006/relationships/hyperlink" Target="https://en.wikipedia.org/wiki/Ohio" TargetMode="External"/><Relationship Id="rId5536" Type="http://schemas.openxmlformats.org/officeDocument/2006/relationships/hyperlink" Target="https://en.wikipedia.org/wiki/Texas" TargetMode="External"/><Relationship Id="rId4207" Type="http://schemas.openxmlformats.org/officeDocument/2006/relationships/hyperlink" Target="https://en.wikipedia.org/wiki/Morrow_County,_Ohio" TargetMode="External"/><Relationship Id="rId5537" Type="http://schemas.openxmlformats.org/officeDocument/2006/relationships/hyperlink" Target="https://en.wikipedia.org/wiki/Wilbarger_County,_Texas" TargetMode="External"/><Relationship Id="rId590" Type="http://schemas.openxmlformats.org/officeDocument/2006/relationships/hyperlink" Target="https://en.wikipedia.org/wiki/Colorado" TargetMode="External"/><Relationship Id="rId4209" Type="http://schemas.openxmlformats.org/officeDocument/2006/relationships/hyperlink" Target="https://en.wikipedia.org/wiki/Muskingum_County,_Ohio" TargetMode="External"/><Relationship Id="rId589" Type="http://schemas.openxmlformats.org/officeDocument/2006/relationships/hyperlink" Target="https://en.wikipedia.org/wiki/Phillips_County,_Colorado" TargetMode="External"/><Relationship Id="rId588" Type="http://schemas.openxmlformats.org/officeDocument/2006/relationships/hyperlink" Target="https://en.wikipedia.org/wiki/Colorado" TargetMode="External"/><Relationship Id="rId583" Type="http://schemas.openxmlformats.org/officeDocument/2006/relationships/hyperlink" Target="https://en.wikipedia.org/wiki/Otero_County,_Colorado" TargetMode="External"/><Relationship Id="rId5530" Type="http://schemas.openxmlformats.org/officeDocument/2006/relationships/hyperlink" Target="https://en.wikipedia.org/wiki/Texas" TargetMode="External"/><Relationship Id="rId582" Type="http://schemas.openxmlformats.org/officeDocument/2006/relationships/hyperlink" Target="https://en.wikipedia.org/wiki/Colorado" TargetMode="External"/><Relationship Id="rId5531" Type="http://schemas.openxmlformats.org/officeDocument/2006/relationships/hyperlink" Target="https://en.wikipedia.org/wiki/Wharton_County,_Texas" TargetMode="External"/><Relationship Id="rId581" Type="http://schemas.openxmlformats.org/officeDocument/2006/relationships/hyperlink" Target="https://en.wikipedia.org/wiki/Morgan_County,_Colorado" TargetMode="External"/><Relationship Id="rId4200" Type="http://schemas.openxmlformats.org/officeDocument/2006/relationships/hyperlink" Target="https://en.wikipedia.org/wiki/Ohio" TargetMode="External"/><Relationship Id="rId580" Type="http://schemas.openxmlformats.org/officeDocument/2006/relationships/hyperlink" Target="https://en.wikipedia.org/wiki/Colorado" TargetMode="External"/><Relationship Id="rId587" Type="http://schemas.openxmlformats.org/officeDocument/2006/relationships/hyperlink" Target="https://en.wikipedia.org/wiki/Park_County,_Colorado" TargetMode="External"/><Relationship Id="rId4202" Type="http://schemas.openxmlformats.org/officeDocument/2006/relationships/hyperlink" Target="https://en.wikipedia.org/wiki/Ohio" TargetMode="External"/><Relationship Id="rId5534" Type="http://schemas.openxmlformats.org/officeDocument/2006/relationships/hyperlink" Target="https://en.wikipedia.org/wiki/Texas" TargetMode="External"/><Relationship Id="rId586" Type="http://schemas.openxmlformats.org/officeDocument/2006/relationships/hyperlink" Target="https://en.wikipedia.org/wiki/Colorado" TargetMode="External"/><Relationship Id="rId4201" Type="http://schemas.openxmlformats.org/officeDocument/2006/relationships/hyperlink" Target="https://en.wikipedia.org/wiki/Monroe_County,_Ohio" TargetMode="External"/><Relationship Id="rId5535" Type="http://schemas.openxmlformats.org/officeDocument/2006/relationships/hyperlink" Target="https://en.wikipedia.org/wiki/Wichita_County,_Texas" TargetMode="External"/><Relationship Id="rId585" Type="http://schemas.openxmlformats.org/officeDocument/2006/relationships/hyperlink" Target="https://en.wikipedia.org/wiki/Ouray_County,_Colorado" TargetMode="External"/><Relationship Id="rId4204" Type="http://schemas.openxmlformats.org/officeDocument/2006/relationships/hyperlink" Target="https://en.wikipedia.org/wiki/Ohio" TargetMode="External"/><Relationship Id="rId5532" Type="http://schemas.openxmlformats.org/officeDocument/2006/relationships/hyperlink" Target="https://en.wikipedia.org/wiki/Texas" TargetMode="External"/><Relationship Id="rId584" Type="http://schemas.openxmlformats.org/officeDocument/2006/relationships/hyperlink" Target="https://en.wikipedia.org/wiki/Colorado" TargetMode="External"/><Relationship Id="rId4203" Type="http://schemas.openxmlformats.org/officeDocument/2006/relationships/hyperlink" Target="https://en.wikipedia.org/wiki/Montgomery_County,_Ohio" TargetMode="External"/><Relationship Id="rId5533" Type="http://schemas.openxmlformats.org/officeDocument/2006/relationships/hyperlink" Target="https://en.wikipedia.org/wiki/Wheeler_County,_Texas" TargetMode="External"/><Relationship Id="rId5527" Type="http://schemas.openxmlformats.org/officeDocument/2006/relationships/hyperlink" Target="https://en.wikipedia.org/wiki/Washington_County,_Texas" TargetMode="External"/><Relationship Id="rId5528" Type="http://schemas.openxmlformats.org/officeDocument/2006/relationships/hyperlink" Target="https://en.wikipedia.org/wiki/Texas" TargetMode="External"/><Relationship Id="rId5525" Type="http://schemas.openxmlformats.org/officeDocument/2006/relationships/hyperlink" Target="https://en.wikipedia.org/wiki/Ward_County,_Texas" TargetMode="External"/><Relationship Id="rId5526" Type="http://schemas.openxmlformats.org/officeDocument/2006/relationships/hyperlink" Target="https://en.wikipedia.org/wiki/Texas" TargetMode="External"/><Relationship Id="rId5529" Type="http://schemas.openxmlformats.org/officeDocument/2006/relationships/hyperlink" Target="https://en.wikipedia.org/wiki/Webb_County,_Texas" TargetMode="External"/><Relationship Id="rId579" Type="http://schemas.openxmlformats.org/officeDocument/2006/relationships/hyperlink" Target="https://en.wikipedia.org/wiki/Montrose_County,_Colorado" TargetMode="External"/><Relationship Id="rId578" Type="http://schemas.openxmlformats.org/officeDocument/2006/relationships/hyperlink" Target="https://en.wikipedia.org/wiki/Colorado" TargetMode="External"/><Relationship Id="rId577" Type="http://schemas.openxmlformats.org/officeDocument/2006/relationships/hyperlink" Target="https://en.wikipedia.org/wiki/Montezuma_County,_Colorado" TargetMode="External"/><Relationship Id="rId572" Type="http://schemas.openxmlformats.org/officeDocument/2006/relationships/hyperlink" Target="https://en.wikipedia.org/wiki/Colorado" TargetMode="External"/><Relationship Id="rId571" Type="http://schemas.openxmlformats.org/officeDocument/2006/relationships/hyperlink" Target="https://en.wikipedia.org/wiki/Mesa_County,_Colorado" TargetMode="External"/><Relationship Id="rId5520" Type="http://schemas.openxmlformats.org/officeDocument/2006/relationships/hyperlink" Target="https://en.wikipedia.org/wiki/Texas" TargetMode="External"/><Relationship Id="rId570" Type="http://schemas.openxmlformats.org/officeDocument/2006/relationships/hyperlink" Target="https://en.wikipedia.org/wiki/Colorado" TargetMode="External"/><Relationship Id="rId576" Type="http://schemas.openxmlformats.org/officeDocument/2006/relationships/hyperlink" Target="https://en.wikipedia.org/wiki/Colorado" TargetMode="External"/><Relationship Id="rId5523" Type="http://schemas.openxmlformats.org/officeDocument/2006/relationships/hyperlink" Target="https://en.wikipedia.org/wiki/Waller_County,_Texas" TargetMode="External"/><Relationship Id="rId575" Type="http://schemas.openxmlformats.org/officeDocument/2006/relationships/hyperlink" Target="https://en.wikipedia.org/wiki/Moffat_County,_Colorado" TargetMode="External"/><Relationship Id="rId5524" Type="http://schemas.openxmlformats.org/officeDocument/2006/relationships/hyperlink" Target="https://en.wikipedia.org/wiki/Texas" TargetMode="External"/><Relationship Id="rId574" Type="http://schemas.openxmlformats.org/officeDocument/2006/relationships/hyperlink" Target="https://en.wikipedia.org/wiki/Colorado" TargetMode="External"/><Relationship Id="rId5521" Type="http://schemas.openxmlformats.org/officeDocument/2006/relationships/hyperlink" Target="https://en.wikipedia.org/wiki/Walker_County,_Texas" TargetMode="External"/><Relationship Id="rId573" Type="http://schemas.openxmlformats.org/officeDocument/2006/relationships/hyperlink" Target="https://en.wikipedia.org/wiki/Mineral_County,_Colorado" TargetMode="External"/><Relationship Id="rId5522" Type="http://schemas.openxmlformats.org/officeDocument/2006/relationships/hyperlink" Target="https://en.wikipedia.org/wiki/Texas" TargetMode="External"/><Relationship Id="rId4228" Type="http://schemas.openxmlformats.org/officeDocument/2006/relationships/hyperlink" Target="https://en.wikipedia.org/wiki/Ohio" TargetMode="External"/><Relationship Id="rId4227" Type="http://schemas.openxmlformats.org/officeDocument/2006/relationships/hyperlink" Target="https://en.wikipedia.org/wiki/Putnam_County,_Ohio" TargetMode="External"/><Relationship Id="rId5558" Type="http://schemas.openxmlformats.org/officeDocument/2006/relationships/hyperlink" Target="https://en.wikipedia.org/wiki/Utah" TargetMode="External"/><Relationship Id="rId4229" Type="http://schemas.openxmlformats.org/officeDocument/2006/relationships/hyperlink" Target="https://en.wikipedia.org/wiki/Richland_County,_Ohio" TargetMode="External"/><Relationship Id="rId5559" Type="http://schemas.openxmlformats.org/officeDocument/2006/relationships/hyperlink" Target="https://en.wikipedia.org/wiki/Beaver_County,_Utah" TargetMode="External"/><Relationship Id="rId4220" Type="http://schemas.openxmlformats.org/officeDocument/2006/relationships/hyperlink" Target="https://en.wikipedia.org/wiki/Ohio" TargetMode="External"/><Relationship Id="rId5552" Type="http://schemas.openxmlformats.org/officeDocument/2006/relationships/hyperlink" Target="https://en.wikipedia.org/wiki/Texas" TargetMode="External"/><Relationship Id="rId5553" Type="http://schemas.openxmlformats.org/officeDocument/2006/relationships/hyperlink" Target="https://en.wikipedia.org/wiki/Young_County,_Texas" TargetMode="External"/><Relationship Id="rId4222" Type="http://schemas.openxmlformats.org/officeDocument/2006/relationships/hyperlink" Target="https://en.wikipedia.org/wiki/Ohio" TargetMode="External"/><Relationship Id="rId5550" Type="http://schemas.openxmlformats.org/officeDocument/2006/relationships/hyperlink" Target="https://en.wikipedia.org/wiki/Texas" TargetMode="External"/><Relationship Id="rId4221" Type="http://schemas.openxmlformats.org/officeDocument/2006/relationships/hyperlink" Target="https://en.wikipedia.org/wiki/Pike_County,_Ohio" TargetMode="External"/><Relationship Id="rId5551" Type="http://schemas.openxmlformats.org/officeDocument/2006/relationships/hyperlink" Target="https://en.wikipedia.org/wiki/Yoakum_County,_Texas" TargetMode="External"/><Relationship Id="rId4224" Type="http://schemas.openxmlformats.org/officeDocument/2006/relationships/hyperlink" Target="https://en.wikipedia.org/wiki/Ohio" TargetMode="External"/><Relationship Id="rId5556" Type="http://schemas.openxmlformats.org/officeDocument/2006/relationships/hyperlink" Target="https://en.wikipedia.org/wiki/Texas" TargetMode="External"/><Relationship Id="rId4223" Type="http://schemas.openxmlformats.org/officeDocument/2006/relationships/hyperlink" Target="https://en.wikipedia.org/wiki/Portage_County,_Ohio" TargetMode="External"/><Relationship Id="rId5557" Type="http://schemas.openxmlformats.org/officeDocument/2006/relationships/hyperlink" Target="https://en.wikipedia.org/wiki/Zavala_County,_Texas" TargetMode="External"/><Relationship Id="rId4226" Type="http://schemas.openxmlformats.org/officeDocument/2006/relationships/hyperlink" Target="https://en.wikipedia.org/wiki/Ohio" TargetMode="External"/><Relationship Id="rId5554" Type="http://schemas.openxmlformats.org/officeDocument/2006/relationships/hyperlink" Target="https://en.wikipedia.org/wiki/Texas" TargetMode="External"/><Relationship Id="rId4225" Type="http://schemas.openxmlformats.org/officeDocument/2006/relationships/hyperlink" Target="https://en.wikipedia.org/wiki/Preble_County,_Ohio" TargetMode="External"/><Relationship Id="rId5555" Type="http://schemas.openxmlformats.org/officeDocument/2006/relationships/hyperlink" Target="https://en.wikipedia.org/wiki/Zapata_County,_Texas" TargetMode="External"/><Relationship Id="rId4217" Type="http://schemas.openxmlformats.org/officeDocument/2006/relationships/hyperlink" Target="https://en.wikipedia.org/wiki/Perry_County,_Ohio" TargetMode="External"/><Relationship Id="rId5549" Type="http://schemas.openxmlformats.org/officeDocument/2006/relationships/hyperlink" Target="https://en.wikipedia.org/wiki/Wood_County,_Texas" TargetMode="External"/><Relationship Id="rId4216" Type="http://schemas.openxmlformats.org/officeDocument/2006/relationships/hyperlink" Target="https://en.wikipedia.org/wiki/Ohio" TargetMode="External"/><Relationship Id="rId4219" Type="http://schemas.openxmlformats.org/officeDocument/2006/relationships/hyperlink" Target="https://en.wikipedia.org/wiki/Pickaway_County,_Ohio" TargetMode="External"/><Relationship Id="rId5547" Type="http://schemas.openxmlformats.org/officeDocument/2006/relationships/hyperlink" Target="https://en.wikipedia.org/wiki/Wise_County,_Texas" TargetMode="External"/><Relationship Id="rId4218" Type="http://schemas.openxmlformats.org/officeDocument/2006/relationships/hyperlink" Target="https://en.wikipedia.org/wiki/Ohio" TargetMode="External"/><Relationship Id="rId5548" Type="http://schemas.openxmlformats.org/officeDocument/2006/relationships/hyperlink" Target="https://en.wikipedia.org/wiki/Texas" TargetMode="External"/><Relationship Id="rId599" Type="http://schemas.openxmlformats.org/officeDocument/2006/relationships/hyperlink" Target="https://en.wikipedia.org/wiki/Rio_Grande_County,_Colorado" TargetMode="External"/><Relationship Id="rId594" Type="http://schemas.openxmlformats.org/officeDocument/2006/relationships/hyperlink" Target="https://en.wikipedia.org/wiki/Colorado" TargetMode="External"/><Relationship Id="rId5541" Type="http://schemas.openxmlformats.org/officeDocument/2006/relationships/hyperlink" Target="https://en.wikipedia.org/wiki/Williamson_County,_Texas" TargetMode="External"/><Relationship Id="rId593" Type="http://schemas.openxmlformats.org/officeDocument/2006/relationships/hyperlink" Target="https://en.wikipedia.org/wiki/Prowers_County,_Colorado" TargetMode="External"/><Relationship Id="rId5542" Type="http://schemas.openxmlformats.org/officeDocument/2006/relationships/hyperlink" Target="https://en.wikipedia.org/wiki/Texas" TargetMode="External"/><Relationship Id="rId592" Type="http://schemas.openxmlformats.org/officeDocument/2006/relationships/hyperlink" Target="https://en.wikipedia.org/wiki/Colorado" TargetMode="External"/><Relationship Id="rId4211" Type="http://schemas.openxmlformats.org/officeDocument/2006/relationships/hyperlink" Target="https://en.wikipedia.org/wiki/Noble_County,_Ohio" TargetMode="External"/><Relationship Id="rId591" Type="http://schemas.openxmlformats.org/officeDocument/2006/relationships/hyperlink" Target="https://en.wikipedia.org/wiki/Pitkin_County,_Colorado" TargetMode="External"/><Relationship Id="rId4210" Type="http://schemas.openxmlformats.org/officeDocument/2006/relationships/hyperlink" Target="https://en.wikipedia.org/wiki/Ohio" TargetMode="External"/><Relationship Id="rId5540" Type="http://schemas.openxmlformats.org/officeDocument/2006/relationships/hyperlink" Target="https://en.wikipedia.org/wiki/Texas" TargetMode="External"/><Relationship Id="rId598" Type="http://schemas.openxmlformats.org/officeDocument/2006/relationships/hyperlink" Target="https://en.wikipedia.org/wiki/Colorado" TargetMode="External"/><Relationship Id="rId4213" Type="http://schemas.openxmlformats.org/officeDocument/2006/relationships/hyperlink" Target="https://en.wikipedia.org/wiki/Ottawa_County,_Ohio" TargetMode="External"/><Relationship Id="rId5545" Type="http://schemas.openxmlformats.org/officeDocument/2006/relationships/hyperlink" Target="https://en.wikipedia.org/wiki/Winkler_County,_Texas" TargetMode="External"/><Relationship Id="rId597" Type="http://schemas.openxmlformats.org/officeDocument/2006/relationships/hyperlink" Target="https://en.wikipedia.org/wiki/Rio_Blanco_County,_Colorado" TargetMode="External"/><Relationship Id="rId4212" Type="http://schemas.openxmlformats.org/officeDocument/2006/relationships/hyperlink" Target="https://en.wikipedia.org/wiki/Ohio" TargetMode="External"/><Relationship Id="rId5546" Type="http://schemas.openxmlformats.org/officeDocument/2006/relationships/hyperlink" Target="https://en.wikipedia.org/wiki/Texas" TargetMode="External"/><Relationship Id="rId596" Type="http://schemas.openxmlformats.org/officeDocument/2006/relationships/hyperlink" Target="https://en.wikipedia.org/wiki/Colorado" TargetMode="External"/><Relationship Id="rId4215" Type="http://schemas.openxmlformats.org/officeDocument/2006/relationships/hyperlink" Target="https://en.wikipedia.org/wiki/Paulding_County,_Ohio" TargetMode="External"/><Relationship Id="rId5543" Type="http://schemas.openxmlformats.org/officeDocument/2006/relationships/hyperlink" Target="https://en.wikipedia.org/wiki/Wilson_County,_Texas" TargetMode="External"/><Relationship Id="rId595" Type="http://schemas.openxmlformats.org/officeDocument/2006/relationships/hyperlink" Target="https://en.wikipedia.org/wiki/Pueblo_County,_Colorado" TargetMode="External"/><Relationship Id="rId4214" Type="http://schemas.openxmlformats.org/officeDocument/2006/relationships/hyperlink" Target="https://en.wikipedia.org/wiki/Ohio" TargetMode="External"/><Relationship Id="rId5544" Type="http://schemas.openxmlformats.org/officeDocument/2006/relationships/hyperlink" Target="https://en.wikipedia.org/wiki/Texas" TargetMode="External"/><Relationship Id="rId547" Type="http://schemas.openxmlformats.org/officeDocument/2006/relationships/hyperlink" Target="https://en.wikipedia.org/wiki/Hinsdale_County,_Colorado" TargetMode="External"/><Relationship Id="rId546" Type="http://schemas.openxmlformats.org/officeDocument/2006/relationships/hyperlink" Target="https://en.wikipedia.org/wiki/Colorado" TargetMode="External"/><Relationship Id="rId545" Type="http://schemas.openxmlformats.org/officeDocument/2006/relationships/hyperlink" Target="https://en.wikipedia.org/wiki/Gunnison_County,_Colorado" TargetMode="External"/><Relationship Id="rId544" Type="http://schemas.openxmlformats.org/officeDocument/2006/relationships/hyperlink" Target="https://en.wikipedia.org/wiki/Colorado" TargetMode="External"/><Relationship Id="rId549" Type="http://schemas.openxmlformats.org/officeDocument/2006/relationships/hyperlink" Target="https://en.wikipedia.org/wiki/Huerfano_County,_Colorado" TargetMode="External"/><Relationship Id="rId548" Type="http://schemas.openxmlformats.org/officeDocument/2006/relationships/hyperlink" Target="https://en.wikipedia.org/wiki/Colorado" TargetMode="External"/><Relationship Id="rId543" Type="http://schemas.openxmlformats.org/officeDocument/2006/relationships/hyperlink" Target="https://en.wikipedia.org/wiki/Grand_County,_Colorado" TargetMode="External"/><Relationship Id="rId542" Type="http://schemas.openxmlformats.org/officeDocument/2006/relationships/hyperlink" Target="https://en.wikipedia.org/wiki/Colorado" TargetMode="External"/><Relationship Id="rId541" Type="http://schemas.openxmlformats.org/officeDocument/2006/relationships/hyperlink" Target="https://en.wikipedia.org/wiki/Gilpin_County,_Colorado" TargetMode="External"/><Relationship Id="rId540" Type="http://schemas.openxmlformats.org/officeDocument/2006/relationships/hyperlink" Target="https://en.wikipedia.org/wiki/Colorado" TargetMode="External"/><Relationship Id="rId536" Type="http://schemas.openxmlformats.org/officeDocument/2006/relationships/hyperlink" Target="https://en.wikipedia.org/wiki/Colorado" TargetMode="External"/><Relationship Id="rId535" Type="http://schemas.openxmlformats.org/officeDocument/2006/relationships/hyperlink" Target="https://en.wikipedia.org/wiki/El_Paso_County,_Colorado" TargetMode="External"/><Relationship Id="rId534" Type="http://schemas.openxmlformats.org/officeDocument/2006/relationships/hyperlink" Target="https://en.wikipedia.org/wiki/Colorado" TargetMode="External"/><Relationship Id="rId533" Type="http://schemas.openxmlformats.org/officeDocument/2006/relationships/hyperlink" Target="https://en.wikipedia.org/wiki/Elbert_County,_Colorado" TargetMode="External"/><Relationship Id="rId539" Type="http://schemas.openxmlformats.org/officeDocument/2006/relationships/hyperlink" Target="https://en.wikipedia.org/wiki/Garfield_County,_Colorado" TargetMode="External"/><Relationship Id="rId538" Type="http://schemas.openxmlformats.org/officeDocument/2006/relationships/hyperlink" Target="https://en.wikipedia.org/wiki/Colorado" TargetMode="External"/><Relationship Id="rId537" Type="http://schemas.openxmlformats.org/officeDocument/2006/relationships/hyperlink" Target="https://en.wikipedia.org/wiki/Fremont_County,_Colorado" TargetMode="External"/><Relationship Id="rId532" Type="http://schemas.openxmlformats.org/officeDocument/2006/relationships/hyperlink" Target="https://en.wikipedia.org/wiki/Colorado" TargetMode="External"/><Relationship Id="rId531" Type="http://schemas.openxmlformats.org/officeDocument/2006/relationships/hyperlink" Target="https://en.wikipedia.org/wiki/Eagle_County,_Colorado" TargetMode="External"/><Relationship Id="rId530" Type="http://schemas.openxmlformats.org/officeDocument/2006/relationships/hyperlink" Target="https://en.wikipedia.org/wiki/Colorado" TargetMode="External"/><Relationship Id="rId5516" Type="http://schemas.openxmlformats.org/officeDocument/2006/relationships/hyperlink" Target="https://en.wikipedia.org/wiki/Texas" TargetMode="External"/><Relationship Id="rId5517" Type="http://schemas.openxmlformats.org/officeDocument/2006/relationships/hyperlink" Target="https://en.wikipedia.org/wiki/Van_Zandt_County,_Texas" TargetMode="External"/><Relationship Id="rId5514" Type="http://schemas.openxmlformats.org/officeDocument/2006/relationships/hyperlink" Target="https://en.wikipedia.org/wiki/Texas" TargetMode="External"/><Relationship Id="rId5515" Type="http://schemas.openxmlformats.org/officeDocument/2006/relationships/hyperlink" Target="https://en.wikipedia.org/wiki/Val_Verde_County,_Texas" TargetMode="External"/><Relationship Id="rId5518" Type="http://schemas.openxmlformats.org/officeDocument/2006/relationships/hyperlink" Target="https://en.wikipedia.org/wiki/Texas" TargetMode="External"/><Relationship Id="rId5519" Type="http://schemas.openxmlformats.org/officeDocument/2006/relationships/hyperlink" Target="https://en.wikipedia.org/wiki/Victoria_County,_Texas" TargetMode="External"/><Relationship Id="rId569" Type="http://schemas.openxmlformats.org/officeDocument/2006/relationships/hyperlink" Target="https://en.wikipedia.org/wiki/Logan_County,_Colorado" TargetMode="External"/><Relationship Id="rId568" Type="http://schemas.openxmlformats.org/officeDocument/2006/relationships/hyperlink" Target="https://en.wikipedia.org/wiki/Colorado" TargetMode="External"/><Relationship Id="rId567" Type="http://schemas.openxmlformats.org/officeDocument/2006/relationships/hyperlink" Target="https://en.wikipedia.org/wiki/Lincoln_County,_Colorado" TargetMode="External"/><Relationship Id="rId566" Type="http://schemas.openxmlformats.org/officeDocument/2006/relationships/hyperlink" Target="https://en.wikipedia.org/wiki/Colorado" TargetMode="External"/><Relationship Id="rId561" Type="http://schemas.openxmlformats.org/officeDocument/2006/relationships/hyperlink" Target="https://en.wikipedia.org/wiki/La_Plata_County,_Colorado" TargetMode="External"/><Relationship Id="rId560" Type="http://schemas.openxmlformats.org/officeDocument/2006/relationships/hyperlink" Target="https://en.wikipedia.org/wiki/Colorado" TargetMode="External"/><Relationship Id="rId565" Type="http://schemas.openxmlformats.org/officeDocument/2006/relationships/hyperlink" Target="https://en.wikipedia.org/wiki/Las_Animas_County,_Colorado" TargetMode="External"/><Relationship Id="rId5512" Type="http://schemas.openxmlformats.org/officeDocument/2006/relationships/hyperlink" Target="https://en.wikipedia.org/wiki/Texas" TargetMode="External"/><Relationship Id="rId564" Type="http://schemas.openxmlformats.org/officeDocument/2006/relationships/hyperlink" Target="https://en.wikipedia.org/wiki/Colorado" TargetMode="External"/><Relationship Id="rId5513" Type="http://schemas.openxmlformats.org/officeDocument/2006/relationships/hyperlink" Target="https://en.wikipedia.org/wiki/Uvalde_County,_Texas" TargetMode="External"/><Relationship Id="rId563" Type="http://schemas.openxmlformats.org/officeDocument/2006/relationships/hyperlink" Target="https://en.wikipedia.org/wiki/Larimer_County,_Colorado" TargetMode="External"/><Relationship Id="rId5510" Type="http://schemas.openxmlformats.org/officeDocument/2006/relationships/hyperlink" Target="https://en.wikipedia.org/wiki/Texas" TargetMode="External"/><Relationship Id="rId562" Type="http://schemas.openxmlformats.org/officeDocument/2006/relationships/hyperlink" Target="https://en.wikipedia.org/wiki/Colorado" TargetMode="External"/><Relationship Id="rId5511" Type="http://schemas.openxmlformats.org/officeDocument/2006/relationships/hyperlink" Target="https://en.wikipedia.org/wiki/Upton_County,_Texas" TargetMode="External"/><Relationship Id="rId5505" Type="http://schemas.openxmlformats.org/officeDocument/2006/relationships/hyperlink" Target="https://en.wikipedia.org/wiki/Trinity_County,_Texas" TargetMode="External"/><Relationship Id="rId5506" Type="http://schemas.openxmlformats.org/officeDocument/2006/relationships/hyperlink" Target="https://en.wikipedia.org/wiki/Texas" TargetMode="External"/><Relationship Id="rId5503" Type="http://schemas.openxmlformats.org/officeDocument/2006/relationships/hyperlink" Target="https://en.wikipedia.org/wiki/Travis_County,_Texas" TargetMode="External"/><Relationship Id="rId5504" Type="http://schemas.openxmlformats.org/officeDocument/2006/relationships/hyperlink" Target="https://en.wikipedia.org/wiki/Texas" TargetMode="External"/><Relationship Id="rId5509" Type="http://schemas.openxmlformats.org/officeDocument/2006/relationships/hyperlink" Target="https://en.wikipedia.org/wiki/Upshur_County,_Texas" TargetMode="External"/><Relationship Id="rId5507" Type="http://schemas.openxmlformats.org/officeDocument/2006/relationships/hyperlink" Target="https://en.wikipedia.org/wiki/Tyler_County,_Texas" TargetMode="External"/><Relationship Id="rId5508" Type="http://schemas.openxmlformats.org/officeDocument/2006/relationships/hyperlink" Target="https://en.wikipedia.org/wiki/Texas" TargetMode="External"/><Relationship Id="rId558" Type="http://schemas.openxmlformats.org/officeDocument/2006/relationships/hyperlink" Target="https://en.wikipedia.org/wiki/Colorado" TargetMode="External"/><Relationship Id="rId557" Type="http://schemas.openxmlformats.org/officeDocument/2006/relationships/hyperlink" Target="https://en.wikipedia.org/wiki/Kit_Carson_County,_Colorado" TargetMode="External"/><Relationship Id="rId556" Type="http://schemas.openxmlformats.org/officeDocument/2006/relationships/hyperlink" Target="https://en.wikipedia.org/wiki/Colorado" TargetMode="External"/><Relationship Id="rId555" Type="http://schemas.openxmlformats.org/officeDocument/2006/relationships/hyperlink" Target="https://en.wikipedia.org/wiki/Kiowa_County,_Colorado" TargetMode="External"/><Relationship Id="rId559" Type="http://schemas.openxmlformats.org/officeDocument/2006/relationships/hyperlink" Target="https://en.wikipedia.org/wiki/Lake_County,_Colorado" TargetMode="External"/><Relationship Id="rId550" Type="http://schemas.openxmlformats.org/officeDocument/2006/relationships/hyperlink" Target="https://en.wikipedia.org/wiki/Colorado" TargetMode="External"/><Relationship Id="rId554" Type="http://schemas.openxmlformats.org/officeDocument/2006/relationships/hyperlink" Target="https://en.wikipedia.org/wiki/Colorado" TargetMode="External"/><Relationship Id="rId5501" Type="http://schemas.openxmlformats.org/officeDocument/2006/relationships/hyperlink" Target="https://en.wikipedia.org/wiki/Tom_Green_County,_Texas" TargetMode="External"/><Relationship Id="rId553" Type="http://schemas.openxmlformats.org/officeDocument/2006/relationships/hyperlink" Target="https://en.wikipedia.org/wiki/Jefferson_County,_Colorado" TargetMode="External"/><Relationship Id="rId5502" Type="http://schemas.openxmlformats.org/officeDocument/2006/relationships/hyperlink" Target="https://en.wikipedia.org/wiki/Texas" TargetMode="External"/><Relationship Id="rId552" Type="http://schemas.openxmlformats.org/officeDocument/2006/relationships/hyperlink" Target="https://en.wikipedia.org/wiki/Colorado" TargetMode="External"/><Relationship Id="rId551" Type="http://schemas.openxmlformats.org/officeDocument/2006/relationships/hyperlink" Target="https://en.wikipedia.org/wiki/Jackson_County,_Colorado" TargetMode="External"/><Relationship Id="rId5500" Type="http://schemas.openxmlformats.org/officeDocument/2006/relationships/hyperlink" Target="https://en.wikipedia.org/wiki/Texas" TargetMode="External"/><Relationship Id="rId4280" Type="http://schemas.openxmlformats.org/officeDocument/2006/relationships/hyperlink" Target="https://en.wikipedia.org/wiki/Oklahoma" TargetMode="External"/><Relationship Id="rId4282" Type="http://schemas.openxmlformats.org/officeDocument/2006/relationships/hyperlink" Target="https://en.wikipedia.org/wiki/Oklahoma" TargetMode="External"/><Relationship Id="rId4281" Type="http://schemas.openxmlformats.org/officeDocument/2006/relationships/hyperlink" Target="https://en.wikipedia.org/wiki/Caddo_County,_Oklahoma" TargetMode="External"/><Relationship Id="rId4284" Type="http://schemas.openxmlformats.org/officeDocument/2006/relationships/hyperlink" Target="https://en.wikipedia.org/wiki/Oklahoma" TargetMode="External"/><Relationship Id="rId4283" Type="http://schemas.openxmlformats.org/officeDocument/2006/relationships/hyperlink" Target="https://en.wikipedia.org/wiki/Canadian_County,_Oklahoma" TargetMode="External"/><Relationship Id="rId4286" Type="http://schemas.openxmlformats.org/officeDocument/2006/relationships/hyperlink" Target="https://en.wikipedia.org/wiki/Oklahoma" TargetMode="External"/><Relationship Id="rId4285" Type="http://schemas.openxmlformats.org/officeDocument/2006/relationships/hyperlink" Target="https://en.wikipedia.org/wiki/Carter_County,_Oklahoma" TargetMode="External"/><Relationship Id="rId4288" Type="http://schemas.openxmlformats.org/officeDocument/2006/relationships/hyperlink" Target="https://en.wikipedia.org/wiki/Oklahoma" TargetMode="External"/><Relationship Id="rId4287" Type="http://schemas.openxmlformats.org/officeDocument/2006/relationships/hyperlink" Target="https://en.wikipedia.org/wiki/Cherokee_County,_Oklahoma" TargetMode="External"/><Relationship Id="rId4289" Type="http://schemas.openxmlformats.org/officeDocument/2006/relationships/hyperlink" Target="https://en.wikipedia.org/wiki/Choctaw_County,_Oklahoma" TargetMode="External"/><Relationship Id="rId4271" Type="http://schemas.openxmlformats.org/officeDocument/2006/relationships/hyperlink" Target="https://en.wikipedia.org/wiki/Atoka_County,_Oklahoma" TargetMode="External"/><Relationship Id="rId4270" Type="http://schemas.openxmlformats.org/officeDocument/2006/relationships/hyperlink" Target="https://en.wikipedia.org/wiki/Oklahoma" TargetMode="External"/><Relationship Id="rId4273" Type="http://schemas.openxmlformats.org/officeDocument/2006/relationships/hyperlink" Target="https://en.wikipedia.org/wiki/Beaver_County,_Oklahoma" TargetMode="External"/><Relationship Id="rId4272" Type="http://schemas.openxmlformats.org/officeDocument/2006/relationships/hyperlink" Target="https://en.wikipedia.org/wiki/Oklahoma" TargetMode="External"/><Relationship Id="rId4275" Type="http://schemas.openxmlformats.org/officeDocument/2006/relationships/hyperlink" Target="https://en.wikipedia.org/wiki/Beckham_County,_Oklahoma" TargetMode="External"/><Relationship Id="rId4274" Type="http://schemas.openxmlformats.org/officeDocument/2006/relationships/hyperlink" Target="https://en.wikipedia.org/wiki/Oklahoma" TargetMode="External"/><Relationship Id="rId4277" Type="http://schemas.openxmlformats.org/officeDocument/2006/relationships/hyperlink" Target="https://en.wikipedia.org/wiki/Blaine_County,_Oklahoma" TargetMode="External"/><Relationship Id="rId4276" Type="http://schemas.openxmlformats.org/officeDocument/2006/relationships/hyperlink" Target="https://en.wikipedia.org/wiki/Oklahoma" TargetMode="External"/><Relationship Id="rId4279" Type="http://schemas.openxmlformats.org/officeDocument/2006/relationships/hyperlink" Target="https://en.wikipedia.org/wiki/Bryan_County,_Oklahoma" TargetMode="External"/><Relationship Id="rId4278" Type="http://schemas.openxmlformats.org/officeDocument/2006/relationships/hyperlink" Target="https://en.wikipedia.org/wiki/Oklahoma" TargetMode="External"/><Relationship Id="rId4291" Type="http://schemas.openxmlformats.org/officeDocument/2006/relationships/hyperlink" Target="https://en.wikipedia.org/wiki/Cimarron_County,_Oklahoma" TargetMode="External"/><Relationship Id="rId4290" Type="http://schemas.openxmlformats.org/officeDocument/2006/relationships/hyperlink" Target="https://en.wikipedia.org/wiki/Oklahoma" TargetMode="External"/><Relationship Id="rId4293" Type="http://schemas.openxmlformats.org/officeDocument/2006/relationships/hyperlink" Target="https://en.wikipedia.org/wiki/Cleveland_County,_Oklahoma" TargetMode="External"/><Relationship Id="rId4292" Type="http://schemas.openxmlformats.org/officeDocument/2006/relationships/hyperlink" Target="https://en.wikipedia.org/wiki/Oklahoma" TargetMode="External"/><Relationship Id="rId4295" Type="http://schemas.openxmlformats.org/officeDocument/2006/relationships/hyperlink" Target="https://en.wikipedia.org/wiki/Coal_County,_Oklahoma" TargetMode="External"/><Relationship Id="rId4294" Type="http://schemas.openxmlformats.org/officeDocument/2006/relationships/hyperlink" Target="https://en.wikipedia.org/wiki/Oklahoma" TargetMode="External"/><Relationship Id="rId4297" Type="http://schemas.openxmlformats.org/officeDocument/2006/relationships/hyperlink" Target="https://en.wikipedia.org/wiki/Comanche_County,_Oklahoma" TargetMode="External"/><Relationship Id="rId4296" Type="http://schemas.openxmlformats.org/officeDocument/2006/relationships/hyperlink" Target="https://en.wikipedia.org/wiki/Oklahoma" TargetMode="External"/><Relationship Id="rId4299" Type="http://schemas.openxmlformats.org/officeDocument/2006/relationships/hyperlink" Target="https://en.wikipedia.org/wiki/Cotton_County,_Oklahoma" TargetMode="External"/><Relationship Id="rId4298" Type="http://schemas.openxmlformats.org/officeDocument/2006/relationships/hyperlink" Target="https://en.wikipedia.org/wiki/Oklahoma" TargetMode="External"/><Relationship Id="rId4249" Type="http://schemas.openxmlformats.org/officeDocument/2006/relationships/hyperlink" Target="https://en.wikipedia.org/wiki/Union_County,_Ohio" TargetMode="External"/><Relationship Id="rId5570" Type="http://schemas.openxmlformats.org/officeDocument/2006/relationships/hyperlink" Target="https://en.wikipedia.org/wiki/Utah" TargetMode="External"/><Relationship Id="rId5571" Type="http://schemas.openxmlformats.org/officeDocument/2006/relationships/hyperlink" Target="https://en.wikipedia.org/wiki/Duchesne_County,_Utah" TargetMode="External"/><Relationship Id="rId4240" Type="http://schemas.openxmlformats.org/officeDocument/2006/relationships/hyperlink" Target="https://en.wikipedia.org/wiki/Ohio" TargetMode="External"/><Relationship Id="rId4242" Type="http://schemas.openxmlformats.org/officeDocument/2006/relationships/hyperlink" Target="https://en.wikipedia.org/wiki/Ohio" TargetMode="External"/><Relationship Id="rId5574" Type="http://schemas.openxmlformats.org/officeDocument/2006/relationships/hyperlink" Target="https://en.wikipedia.org/wiki/Utah" TargetMode="External"/><Relationship Id="rId4241" Type="http://schemas.openxmlformats.org/officeDocument/2006/relationships/hyperlink" Target="https://en.wikipedia.org/wiki/Stark_County,_Ohio" TargetMode="External"/><Relationship Id="rId5575" Type="http://schemas.openxmlformats.org/officeDocument/2006/relationships/hyperlink" Target="https://en.wikipedia.org/wiki/Garfield_County,_Utah" TargetMode="External"/><Relationship Id="rId4244" Type="http://schemas.openxmlformats.org/officeDocument/2006/relationships/hyperlink" Target="https://en.wikipedia.org/wiki/Ohio" TargetMode="External"/><Relationship Id="rId5572" Type="http://schemas.openxmlformats.org/officeDocument/2006/relationships/hyperlink" Target="https://en.wikipedia.org/wiki/Utah" TargetMode="External"/><Relationship Id="rId4243" Type="http://schemas.openxmlformats.org/officeDocument/2006/relationships/hyperlink" Target="https://en.wikipedia.org/wiki/Summit_County,_Ohio" TargetMode="External"/><Relationship Id="rId5573" Type="http://schemas.openxmlformats.org/officeDocument/2006/relationships/hyperlink" Target="https://en.wikipedia.org/wiki/Emery_County,_Utah" TargetMode="External"/><Relationship Id="rId4246" Type="http://schemas.openxmlformats.org/officeDocument/2006/relationships/hyperlink" Target="https://en.wikipedia.org/wiki/Ohio" TargetMode="External"/><Relationship Id="rId5578" Type="http://schemas.openxmlformats.org/officeDocument/2006/relationships/hyperlink" Target="https://en.wikipedia.org/wiki/Utah" TargetMode="External"/><Relationship Id="rId4245" Type="http://schemas.openxmlformats.org/officeDocument/2006/relationships/hyperlink" Target="https://en.wikipedia.org/wiki/Trumbull_County,_Ohio" TargetMode="External"/><Relationship Id="rId5579" Type="http://schemas.openxmlformats.org/officeDocument/2006/relationships/hyperlink" Target="https://en.wikipedia.org/wiki/Iron_County,_Utah" TargetMode="External"/><Relationship Id="rId4248" Type="http://schemas.openxmlformats.org/officeDocument/2006/relationships/hyperlink" Target="https://en.wikipedia.org/wiki/Ohio" TargetMode="External"/><Relationship Id="rId5576" Type="http://schemas.openxmlformats.org/officeDocument/2006/relationships/hyperlink" Target="https://en.wikipedia.org/wiki/Utah" TargetMode="External"/><Relationship Id="rId4247" Type="http://schemas.openxmlformats.org/officeDocument/2006/relationships/hyperlink" Target="https://en.wikipedia.org/wiki/Tuscarawas_County,_Ohio" TargetMode="External"/><Relationship Id="rId5577" Type="http://schemas.openxmlformats.org/officeDocument/2006/relationships/hyperlink" Target="https://en.wikipedia.org/wiki/Grand_County,_Utah" TargetMode="External"/><Relationship Id="rId4239" Type="http://schemas.openxmlformats.org/officeDocument/2006/relationships/hyperlink" Target="https://en.wikipedia.org/wiki/Shelby_County,_Ohio" TargetMode="External"/><Relationship Id="rId4238" Type="http://schemas.openxmlformats.org/officeDocument/2006/relationships/hyperlink" Target="https://en.wikipedia.org/wiki/Ohio" TargetMode="External"/><Relationship Id="rId5569" Type="http://schemas.openxmlformats.org/officeDocument/2006/relationships/hyperlink" Target="https://en.wikipedia.org/wiki/Davis_County,_Utah" TargetMode="External"/><Relationship Id="rId5560" Type="http://schemas.openxmlformats.org/officeDocument/2006/relationships/hyperlink" Target="https://en.wikipedia.org/wiki/Utah" TargetMode="External"/><Relationship Id="rId495" Type="http://schemas.openxmlformats.org/officeDocument/2006/relationships/hyperlink" Target="https://en.wikipedia.org/wiki/Alamosa_County,_Colorado" TargetMode="External"/><Relationship Id="rId4231" Type="http://schemas.openxmlformats.org/officeDocument/2006/relationships/hyperlink" Target="https://en.wikipedia.org/wiki/Ross_County,_Ohio" TargetMode="External"/><Relationship Id="rId5563" Type="http://schemas.openxmlformats.org/officeDocument/2006/relationships/hyperlink" Target="https://en.wikipedia.org/wiki/Cache_County,_Utah" TargetMode="External"/><Relationship Id="rId494" Type="http://schemas.openxmlformats.org/officeDocument/2006/relationships/hyperlink" Target="https://en.wikipedia.org/wiki/Colorado" TargetMode="External"/><Relationship Id="rId4230" Type="http://schemas.openxmlformats.org/officeDocument/2006/relationships/hyperlink" Target="https://en.wikipedia.org/wiki/Ohio" TargetMode="External"/><Relationship Id="rId5564" Type="http://schemas.openxmlformats.org/officeDocument/2006/relationships/hyperlink" Target="https://en.wikipedia.org/wiki/Utah" TargetMode="External"/><Relationship Id="rId493" Type="http://schemas.openxmlformats.org/officeDocument/2006/relationships/hyperlink" Target="https://en.wikipedia.org/wiki/Adams_County,_Colorado" TargetMode="External"/><Relationship Id="rId4233" Type="http://schemas.openxmlformats.org/officeDocument/2006/relationships/hyperlink" Target="https://en.wikipedia.org/wiki/Sandusky_County,_Ohio" TargetMode="External"/><Relationship Id="rId5561" Type="http://schemas.openxmlformats.org/officeDocument/2006/relationships/hyperlink" Target="https://en.wikipedia.org/wiki/Box_Elder_County,_Utah" TargetMode="External"/><Relationship Id="rId492" Type="http://schemas.openxmlformats.org/officeDocument/2006/relationships/hyperlink" Target="https://en.wikipedia.org/wiki/Colorado" TargetMode="External"/><Relationship Id="rId4232" Type="http://schemas.openxmlformats.org/officeDocument/2006/relationships/hyperlink" Target="https://en.wikipedia.org/wiki/Ohio" TargetMode="External"/><Relationship Id="rId5562" Type="http://schemas.openxmlformats.org/officeDocument/2006/relationships/hyperlink" Target="https://en.wikipedia.org/wiki/Utah" TargetMode="External"/><Relationship Id="rId499" Type="http://schemas.openxmlformats.org/officeDocument/2006/relationships/hyperlink" Target="https://en.wikipedia.org/wiki/Archuleta_County,_Colorado" TargetMode="External"/><Relationship Id="rId4235" Type="http://schemas.openxmlformats.org/officeDocument/2006/relationships/hyperlink" Target="https://en.wikipedia.org/wiki/Scioto_County,_Ohio" TargetMode="External"/><Relationship Id="rId5567" Type="http://schemas.openxmlformats.org/officeDocument/2006/relationships/hyperlink" Target="https://en.wikipedia.org/wiki/Daggett_County,_Utah" TargetMode="External"/><Relationship Id="rId498" Type="http://schemas.openxmlformats.org/officeDocument/2006/relationships/hyperlink" Target="https://en.wikipedia.org/wiki/Colorado" TargetMode="External"/><Relationship Id="rId4234" Type="http://schemas.openxmlformats.org/officeDocument/2006/relationships/hyperlink" Target="https://en.wikipedia.org/wiki/Ohio" TargetMode="External"/><Relationship Id="rId5568" Type="http://schemas.openxmlformats.org/officeDocument/2006/relationships/hyperlink" Target="https://en.wikipedia.org/wiki/Utah" TargetMode="External"/><Relationship Id="rId497" Type="http://schemas.openxmlformats.org/officeDocument/2006/relationships/hyperlink" Target="https://en.wikipedia.org/wiki/Arapahoe_County,_Colorado" TargetMode="External"/><Relationship Id="rId4237" Type="http://schemas.openxmlformats.org/officeDocument/2006/relationships/hyperlink" Target="https://en.wikipedia.org/wiki/Seneca_County,_Ohio" TargetMode="External"/><Relationship Id="rId5565" Type="http://schemas.openxmlformats.org/officeDocument/2006/relationships/hyperlink" Target="https://en.wikipedia.org/wiki/Carbon_County,_Utah" TargetMode="External"/><Relationship Id="rId496" Type="http://schemas.openxmlformats.org/officeDocument/2006/relationships/hyperlink" Target="https://en.wikipedia.org/wiki/Colorado" TargetMode="External"/><Relationship Id="rId4236" Type="http://schemas.openxmlformats.org/officeDocument/2006/relationships/hyperlink" Target="https://en.wikipedia.org/wiki/Ohio" TargetMode="External"/><Relationship Id="rId5566" Type="http://schemas.openxmlformats.org/officeDocument/2006/relationships/hyperlink" Target="https://en.wikipedia.org/wiki/Utah" TargetMode="External"/><Relationship Id="rId4260" Type="http://schemas.openxmlformats.org/officeDocument/2006/relationships/hyperlink" Target="https://en.wikipedia.org/wiki/Ohio" TargetMode="External"/><Relationship Id="rId5592" Type="http://schemas.openxmlformats.org/officeDocument/2006/relationships/hyperlink" Target="https://en.wikipedia.org/wiki/Utah" TargetMode="External"/><Relationship Id="rId5593" Type="http://schemas.openxmlformats.org/officeDocument/2006/relationships/hyperlink" Target="https://en.wikipedia.org/wiki/Salt_Lake_County,_Utah" TargetMode="External"/><Relationship Id="rId4262" Type="http://schemas.openxmlformats.org/officeDocument/2006/relationships/hyperlink" Target="https://en.wikipedia.org/wiki/Ohio" TargetMode="External"/><Relationship Id="rId5590" Type="http://schemas.openxmlformats.org/officeDocument/2006/relationships/hyperlink" Target="https://en.wikipedia.org/wiki/Utah" TargetMode="External"/><Relationship Id="rId4261" Type="http://schemas.openxmlformats.org/officeDocument/2006/relationships/hyperlink" Target="https://en.wikipedia.org/wiki/Williams_County,_Ohio" TargetMode="External"/><Relationship Id="rId5591" Type="http://schemas.openxmlformats.org/officeDocument/2006/relationships/hyperlink" Target="https://en.wikipedia.org/wiki/Rich_County,_Utah" TargetMode="External"/><Relationship Id="rId4264" Type="http://schemas.openxmlformats.org/officeDocument/2006/relationships/hyperlink" Target="https://en.wikipedia.org/wiki/Ohio" TargetMode="External"/><Relationship Id="rId5596" Type="http://schemas.openxmlformats.org/officeDocument/2006/relationships/hyperlink" Target="https://en.wikipedia.org/wiki/Utah" TargetMode="External"/><Relationship Id="rId4263" Type="http://schemas.openxmlformats.org/officeDocument/2006/relationships/hyperlink" Target="https://en.wikipedia.org/wiki/Wood_County,_Ohio" TargetMode="External"/><Relationship Id="rId5597" Type="http://schemas.openxmlformats.org/officeDocument/2006/relationships/hyperlink" Target="https://en.wikipedia.org/wiki/Sanpete_County,_Utah" TargetMode="External"/><Relationship Id="rId4266" Type="http://schemas.openxmlformats.org/officeDocument/2006/relationships/hyperlink" Target="https://en.wikipedia.org/wiki/Oklahoma" TargetMode="External"/><Relationship Id="rId5594" Type="http://schemas.openxmlformats.org/officeDocument/2006/relationships/hyperlink" Target="https://en.wikipedia.org/wiki/Utah" TargetMode="External"/><Relationship Id="rId4265" Type="http://schemas.openxmlformats.org/officeDocument/2006/relationships/hyperlink" Target="https://en.wikipedia.org/wiki/Wyandot_County,_Ohio" TargetMode="External"/><Relationship Id="rId5595" Type="http://schemas.openxmlformats.org/officeDocument/2006/relationships/hyperlink" Target="https://en.wikipedia.org/wiki/San_Juan_County,_Utah" TargetMode="External"/><Relationship Id="rId4268" Type="http://schemas.openxmlformats.org/officeDocument/2006/relationships/hyperlink" Target="https://en.wikipedia.org/wiki/Oklahoma" TargetMode="External"/><Relationship Id="rId4267" Type="http://schemas.openxmlformats.org/officeDocument/2006/relationships/hyperlink" Target="https://en.wikipedia.org/wiki/Adair_County,_Oklahoma" TargetMode="External"/><Relationship Id="rId5598" Type="http://schemas.openxmlformats.org/officeDocument/2006/relationships/hyperlink" Target="https://en.wikipedia.org/wiki/Utah" TargetMode="External"/><Relationship Id="rId4269" Type="http://schemas.openxmlformats.org/officeDocument/2006/relationships/hyperlink" Target="https://en.wikipedia.org/wiki/Alfalfa_County,_Oklahoma" TargetMode="External"/><Relationship Id="rId5599" Type="http://schemas.openxmlformats.org/officeDocument/2006/relationships/hyperlink" Target="https://en.wikipedia.org/wiki/Sevier_County,_Utah" TargetMode="External"/><Relationship Id="rId5581" Type="http://schemas.openxmlformats.org/officeDocument/2006/relationships/hyperlink" Target="https://en.wikipedia.org/wiki/Juab_County,_Utah" TargetMode="External"/><Relationship Id="rId5582" Type="http://schemas.openxmlformats.org/officeDocument/2006/relationships/hyperlink" Target="https://en.wikipedia.org/wiki/Utah" TargetMode="External"/><Relationship Id="rId4251" Type="http://schemas.openxmlformats.org/officeDocument/2006/relationships/hyperlink" Target="https://en.wikipedia.org/wiki/Van_Wert_County,_Ohio" TargetMode="External"/><Relationship Id="rId4250" Type="http://schemas.openxmlformats.org/officeDocument/2006/relationships/hyperlink" Target="https://en.wikipedia.org/wiki/Ohio" TargetMode="External"/><Relationship Id="rId5580" Type="http://schemas.openxmlformats.org/officeDocument/2006/relationships/hyperlink" Target="https://en.wikipedia.org/wiki/Utah" TargetMode="External"/><Relationship Id="rId4253" Type="http://schemas.openxmlformats.org/officeDocument/2006/relationships/hyperlink" Target="https://en.wikipedia.org/wiki/Vinton_County,_Ohio" TargetMode="External"/><Relationship Id="rId5585" Type="http://schemas.openxmlformats.org/officeDocument/2006/relationships/hyperlink" Target="https://en.wikipedia.org/wiki/Millard_County,_Utah" TargetMode="External"/><Relationship Id="rId4252" Type="http://schemas.openxmlformats.org/officeDocument/2006/relationships/hyperlink" Target="https://en.wikipedia.org/wiki/Ohio" TargetMode="External"/><Relationship Id="rId5586" Type="http://schemas.openxmlformats.org/officeDocument/2006/relationships/hyperlink" Target="https://en.wikipedia.org/wiki/Utah" TargetMode="External"/><Relationship Id="rId4255" Type="http://schemas.openxmlformats.org/officeDocument/2006/relationships/hyperlink" Target="https://en.wikipedia.org/wiki/Warren_County,_Ohio" TargetMode="External"/><Relationship Id="rId5583" Type="http://schemas.openxmlformats.org/officeDocument/2006/relationships/hyperlink" Target="https://en.wikipedia.org/wiki/Kane_County,_Utah" TargetMode="External"/><Relationship Id="rId4254" Type="http://schemas.openxmlformats.org/officeDocument/2006/relationships/hyperlink" Target="https://en.wikipedia.org/wiki/Ohio" TargetMode="External"/><Relationship Id="rId5584" Type="http://schemas.openxmlformats.org/officeDocument/2006/relationships/hyperlink" Target="https://en.wikipedia.org/wiki/Utah" TargetMode="External"/><Relationship Id="rId4257" Type="http://schemas.openxmlformats.org/officeDocument/2006/relationships/hyperlink" Target="https://en.wikipedia.org/wiki/Washington_County,_Ohio" TargetMode="External"/><Relationship Id="rId5589" Type="http://schemas.openxmlformats.org/officeDocument/2006/relationships/hyperlink" Target="https://en.wikipedia.org/wiki/Piute_County,_Utah" TargetMode="External"/><Relationship Id="rId4256" Type="http://schemas.openxmlformats.org/officeDocument/2006/relationships/hyperlink" Target="https://en.wikipedia.org/wiki/Ohio" TargetMode="External"/><Relationship Id="rId4259" Type="http://schemas.openxmlformats.org/officeDocument/2006/relationships/hyperlink" Target="https://en.wikipedia.org/wiki/Wayne_County,_Ohio" TargetMode="External"/><Relationship Id="rId5587" Type="http://schemas.openxmlformats.org/officeDocument/2006/relationships/hyperlink" Target="https://en.wikipedia.org/wiki/Morgan_County,_Utah" TargetMode="External"/><Relationship Id="rId4258" Type="http://schemas.openxmlformats.org/officeDocument/2006/relationships/hyperlink" Target="https://en.wikipedia.org/wiki/Ohio" TargetMode="External"/><Relationship Id="rId5588" Type="http://schemas.openxmlformats.org/officeDocument/2006/relationships/hyperlink" Target="https://en.wikipedia.org/wiki/Utah" TargetMode="External"/><Relationship Id="rId409" Type="http://schemas.openxmlformats.org/officeDocument/2006/relationships/hyperlink" Target="https://en.wikipedia.org/wiki/Lake_County,_California" TargetMode="External"/><Relationship Id="rId404" Type="http://schemas.openxmlformats.org/officeDocument/2006/relationships/hyperlink" Target="https://en.wikipedia.org/wiki/California" TargetMode="External"/><Relationship Id="rId403" Type="http://schemas.openxmlformats.org/officeDocument/2006/relationships/hyperlink" Target="https://en.wikipedia.org/wiki/Inyo_County,_California" TargetMode="External"/><Relationship Id="rId402" Type="http://schemas.openxmlformats.org/officeDocument/2006/relationships/hyperlink" Target="https://en.wikipedia.org/wiki/California" TargetMode="External"/><Relationship Id="rId401" Type="http://schemas.openxmlformats.org/officeDocument/2006/relationships/hyperlink" Target="https://en.wikipedia.org/wiki/Imperial_County,_California" TargetMode="External"/><Relationship Id="rId408" Type="http://schemas.openxmlformats.org/officeDocument/2006/relationships/hyperlink" Target="https://en.wikipedia.org/wiki/California" TargetMode="External"/><Relationship Id="rId407" Type="http://schemas.openxmlformats.org/officeDocument/2006/relationships/hyperlink" Target="https://en.wikipedia.org/wiki/Kings_County,_California" TargetMode="External"/><Relationship Id="rId406" Type="http://schemas.openxmlformats.org/officeDocument/2006/relationships/hyperlink" Target="https://en.wikipedia.org/wiki/California" TargetMode="External"/><Relationship Id="rId405" Type="http://schemas.openxmlformats.org/officeDocument/2006/relationships/hyperlink" Target="https://en.wikipedia.org/wiki/Kern_County,_California" TargetMode="External"/><Relationship Id="rId400" Type="http://schemas.openxmlformats.org/officeDocument/2006/relationships/hyperlink" Target="https://en.wikipedia.org/wiki/California" TargetMode="External"/><Relationship Id="rId4327" Type="http://schemas.openxmlformats.org/officeDocument/2006/relationships/hyperlink" Target="https://en.wikipedia.org/wiki/Haskell_County,_Oklahoma" TargetMode="External"/><Relationship Id="rId5659" Type="http://schemas.openxmlformats.org/officeDocument/2006/relationships/hyperlink" Target="https://en.wikipedia.org/wiki/Augusta_County,_Virginia" TargetMode="External"/><Relationship Id="rId4326" Type="http://schemas.openxmlformats.org/officeDocument/2006/relationships/hyperlink" Target="https://en.wikipedia.org/wiki/Oklahoma" TargetMode="External"/><Relationship Id="rId4329" Type="http://schemas.openxmlformats.org/officeDocument/2006/relationships/hyperlink" Target="https://en.wikipedia.org/wiki/Hughes_County,_Oklahoma" TargetMode="External"/><Relationship Id="rId5657" Type="http://schemas.openxmlformats.org/officeDocument/2006/relationships/hyperlink" Target="https://en.wikipedia.org/wiki/Arlington_County,_Virginia" TargetMode="External"/><Relationship Id="rId4328" Type="http://schemas.openxmlformats.org/officeDocument/2006/relationships/hyperlink" Target="https://en.wikipedia.org/wiki/Oklahoma" TargetMode="External"/><Relationship Id="rId5658" Type="http://schemas.openxmlformats.org/officeDocument/2006/relationships/hyperlink" Target="https://en.wikipedia.org/wiki/Virginia" TargetMode="External"/><Relationship Id="rId469" Type="http://schemas.openxmlformats.org/officeDocument/2006/relationships/hyperlink" Target="https://en.wikipedia.org/wiki/Siskiyou_County,_California" TargetMode="External"/><Relationship Id="rId468" Type="http://schemas.openxmlformats.org/officeDocument/2006/relationships/hyperlink" Target="https://en.wikipedia.org/wiki/California" TargetMode="External"/><Relationship Id="rId467" Type="http://schemas.openxmlformats.org/officeDocument/2006/relationships/hyperlink" Target="https://en.wikipedia.org/wiki/Sierra_County,_California" TargetMode="External"/><Relationship Id="rId462" Type="http://schemas.openxmlformats.org/officeDocument/2006/relationships/hyperlink" Target="https://en.wikipedia.org/wiki/California" TargetMode="External"/><Relationship Id="rId5651" Type="http://schemas.openxmlformats.org/officeDocument/2006/relationships/hyperlink" Target="https://en.wikipedia.org/wiki/Amelia_County,_Virginia" TargetMode="External"/><Relationship Id="rId461" Type="http://schemas.openxmlformats.org/officeDocument/2006/relationships/hyperlink" Target="https://en.wikipedia.org/wiki/Santa_Clara_County,_California" TargetMode="External"/><Relationship Id="rId5652" Type="http://schemas.openxmlformats.org/officeDocument/2006/relationships/hyperlink" Target="https://en.wikipedia.org/wiki/Virginia" TargetMode="External"/><Relationship Id="rId460" Type="http://schemas.openxmlformats.org/officeDocument/2006/relationships/hyperlink" Target="https://en.wikipedia.org/wiki/California" TargetMode="External"/><Relationship Id="rId4321" Type="http://schemas.openxmlformats.org/officeDocument/2006/relationships/hyperlink" Target="https://en.wikipedia.org/wiki/Greer_County,_Oklahoma" TargetMode="External"/><Relationship Id="rId4320" Type="http://schemas.openxmlformats.org/officeDocument/2006/relationships/hyperlink" Target="https://en.wikipedia.org/wiki/Oklahoma" TargetMode="External"/><Relationship Id="rId5650" Type="http://schemas.openxmlformats.org/officeDocument/2006/relationships/hyperlink" Target="https://en.wikipedia.org/wiki/Virginia" TargetMode="External"/><Relationship Id="rId466" Type="http://schemas.openxmlformats.org/officeDocument/2006/relationships/hyperlink" Target="https://en.wikipedia.org/wiki/California" TargetMode="External"/><Relationship Id="rId4323" Type="http://schemas.openxmlformats.org/officeDocument/2006/relationships/hyperlink" Target="https://en.wikipedia.org/wiki/Harmon_County,_Oklahoma" TargetMode="External"/><Relationship Id="rId5655" Type="http://schemas.openxmlformats.org/officeDocument/2006/relationships/hyperlink" Target="https://en.wikipedia.org/wiki/Appomattox_County,_Virginia" TargetMode="External"/><Relationship Id="rId465" Type="http://schemas.openxmlformats.org/officeDocument/2006/relationships/hyperlink" Target="https://en.wikipedia.org/wiki/Shasta_County,_California" TargetMode="External"/><Relationship Id="rId4322" Type="http://schemas.openxmlformats.org/officeDocument/2006/relationships/hyperlink" Target="https://en.wikipedia.org/wiki/Oklahoma" TargetMode="External"/><Relationship Id="rId5656" Type="http://schemas.openxmlformats.org/officeDocument/2006/relationships/hyperlink" Target="https://en.wikipedia.org/wiki/Virginia" TargetMode="External"/><Relationship Id="rId464" Type="http://schemas.openxmlformats.org/officeDocument/2006/relationships/hyperlink" Target="https://en.wikipedia.org/wiki/California" TargetMode="External"/><Relationship Id="rId4325" Type="http://schemas.openxmlformats.org/officeDocument/2006/relationships/hyperlink" Target="https://en.wikipedia.org/wiki/Harper_County,_Oklahoma" TargetMode="External"/><Relationship Id="rId5653" Type="http://schemas.openxmlformats.org/officeDocument/2006/relationships/hyperlink" Target="https://en.wikipedia.org/wiki/Amherst_County,_Virginia" TargetMode="External"/><Relationship Id="rId463" Type="http://schemas.openxmlformats.org/officeDocument/2006/relationships/hyperlink" Target="https://en.wikipedia.org/wiki/Santa_Cruz_County,_California" TargetMode="External"/><Relationship Id="rId4324" Type="http://schemas.openxmlformats.org/officeDocument/2006/relationships/hyperlink" Target="https://en.wikipedia.org/wiki/Oklahoma" TargetMode="External"/><Relationship Id="rId5654" Type="http://schemas.openxmlformats.org/officeDocument/2006/relationships/hyperlink" Target="https://en.wikipedia.org/wiki/Virginia" TargetMode="External"/><Relationship Id="rId4316" Type="http://schemas.openxmlformats.org/officeDocument/2006/relationships/hyperlink" Target="https://en.wikipedia.org/wiki/Oklahoma" TargetMode="External"/><Relationship Id="rId5648" Type="http://schemas.openxmlformats.org/officeDocument/2006/relationships/hyperlink" Target="https://en.wikipedia.org/wiki/Virginia" TargetMode="External"/><Relationship Id="rId4315" Type="http://schemas.openxmlformats.org/officeDocument/2006/relationships/hyperlink" Target="https://en.wikipedia.org/wiki/Garvin_County,_Oklahoma" TargetMode="External"/><Relationship Id="rId5649" Type="http://schemas.openxmlformats.org/officeDocument/2006/relationships/hyperlink" Target="https://en.wikipedia.org/wiki/Alleghany_County,_Virginia" TargetMode="External"/><Relationship Id="rId4318" Type="http://schemas.openxmlformats.org/officeDocument/2006/relationships/hyperlink" Target="https://en.wikipedia.org/wiki/Oklahoma" TargetMode="External"/><Relationship Id="rId5646" Type="http://schemas.openxmlformats.org/officeDocument/2006/relationships/hyperlink" Target="https://en.wikipedia.org/wiki/Virginia" TargetMode="External"/><Relationship Id="rId4317" Type="http://schemas.openxmlformats.org/officeDocument/2006/relationships/hyperlink" Target="https://en.wikipedia.org/wiki/Grady_County,_Oklahoma" TargetMode="External"/><Relationship Id="rId5647" Type="http://schemas.openxmlformats.org/officeDocument/2006/relationships/hyperlink" Target="https://en.wikipedia.org/wiki/Albemarle_County,_Virginia" TargetMode="External"/><Relationship Id="rId4319" Type="http://schemas.openxmlformats.org/officeDocument/2006/relationships/hyperlink" Target="https://en.wikipedia.org/wiki/Grant_County,_Oklahoma" TargetMode="External"/><Relationship Id="rId459" Type="http://schemas.openxmlformats.org/officeDocument/2006/relationships/hyperlink" Target="https://en.wikipedia.org/wiki/Santa_Barbara_County,_California" TargetMode="External"/><Relationship Id="rId458" Type="http://schemas.openxmlformats.org/officeDocument/2006/relationships/hyperlink" Target="https://en.wikipedia.org/wiki/California" TargetMode="External"/><Relationship Id="rId457" Type="http://schemas.openxmlformats.org/officeDocument/2006/relationships/hyperlink" Target="https://en.wikipedia.org/wiki/San_Mateo_County,_California" TargetMode="External"/><Relationship Id="rId456" Type="http://schemas.openxmlformats.org/officeDocument/2006/relationships/hyperlink" Target="https://en.wikipedia.org/wiki/California" TargetMode="External"/><Relationship Id="rId451" Type="http://schemas.openxmlformats.org/officeDocument/2006/relationships/hyperlink" Target="https://en.wikipedia.org/wiki/San_Francisco_County,_California" TargetMode="External"/><Relationship Id="rId5640" Type="http://schemas.openxmlformats.org/officeDocument/2006/relationships/hyperlink" Target="https://en.wikipedia.org/wiki/Vermont" TargetMode="External"/><Relationship Id="rId450" Type="http://schemas.openxmlformats.org/officeDocument/2006/relationships/hyperlink" Target="https://en.wikipedia.org/wiki/California" TargetMode="External"/><Relationship Id="rId5641" Type="http://schemas.openxmlformats.org/officeDocument/2006/relationships/hyperlink" Target="https://en.wikipedia.org/wiki/Windham_County,_Vermont" TargetMode="External"/><Relationship Id="rId4310" Type="http://schemas.openxmlformats.org/officeDocument/2006/relationships/hyperlink" Target="https://en.wikipedia.org/wiki/Oklahoma" TargetMode="External"/><Relationship Id="rId455" Type="http://schemas.openxmlformats.org/officeDocument/2006/relationships/hyperlink" Target="https://en.wikipedia.org/wiki/San_Luis_Obispo_County,_California" TargetMode="External"/><Relationship Id="rId4312" Type="http://schemas.openxmlformats.org/officeDocument/2006/relationships/hyperlink" Target="https://en.wikipedia.org/wiki/Oklahoma" TargetMode="External"/><Relationship Id="rId5644" Type="http://schemas.openxmlformats.org/officeDocument/2006/relationships/hyperlink" Target="https://en.wikipedia.org/wiki/Virginia" TargetMode="External"/><Relationship Id="rId454" Type="http://schemas.openxmlformats.org/officeDocument/2006/relationships/hyperlink" Target="https://en.wikipedia.org/wiki/California" TargetMode="External"/><Relationship Id="rId4311" Type="http://schemas.openxmlformats.org/officeDocument/2006/relationships/hyperlink" Target="https://en.wikipedia.org/wiki/Ellis_County,_Oklahoma" TargetMode="External"/><Relationship Id="rId5645" Type="http://schemas.openxmlformats.org/officeDocument/2006/relationships/hyperlink" Target="https://en.wikipedia.org/wiki/Accomack_County,_Virginia" TargetMode="External"/><Relationship Id="rId453" Type="http://schemas.openxmlformats.org/officeDocument/2006/relationships/hyperlink" Target="https://en.wikipedia.org/wiki/San_Joaquin_County,_California" TargetMode="External"/><Relationship Id="rId4314" Type="http://schemas.openxmlformats.org/officeDocument/2006/relationships/hyperlink" Target="https://en.wikipedia.org/wiki/Oklahoma" TargetMode="External"/><Relationship Id="rId5642" Type="http://schemas.openxmlformats.org/officeDocument/2006/relationships/hyperlink" Target="https://en.wikipedia.org/wiki/Vermont" TargetMode="External"/><Relationship Id="rId452" Type="http://schemas.openxmlformats.org/officeDocument/2006/relationships/hyperlink" Target="https://en.wikipedia.org/wiki/California" TargetMode="External"/><Relationship Id="rId4313" Type="http://schemas.openxmlformats.org/officeDocument/2006/relationships/hyperlink" Target="https://en.wikipedia.org/wiki/Garfield_County,_Oklahoma" TargetMode="External"/><Relationship Id="rId5643" Type="http://schemas.openxmlformats.org/officeDocument/2006/relationships/hyperlink" Target="https://en.wikipedia.org/wiki/Windsor_County,_Vermont" TargetMode="External"/><Relationship Id="rId3018" Type="http://schemas.openxmlformats.org/officeDocument/2006/relationships/hyperlink" Target="https://en.wikipedia.org/wiki/Missouri" TargetMode="External"/><Relationship Id="rId4349" Type="http://schemas.openxmlformats.org/officeDocument/2006/relationships/hyperlink" Target="https://en.wikipedia.org/wiki/Logan_County,_Oklahoma" TargetMode="External"/><Relationship Id="rId3017" Type="http://schemas.openxmlformats.org/officeDocument/2006/relationships/hyperlink" Target="https://en.wikipedia.org/wiki/Clay_County,_Missouri" TargetMode="External"/><Relationship Id="rId4348" Type="http://schemas.openxmlformats.org/officeDocument/2006/relationships/hyperlink" Target="https://en.wikipedia.org/wiki/Oklahoma" TargetMode="External"/><Relationship Id="rId5679" Type="http://schemas.openxmlformats.org/officeDocument/2006/relationships/hyperlink" Target="https://en.wikipedia.org/wiki/Carroll_County,_Virginia" TargetMode="External"/><Relationship Id="rId3019" Type="http://schemas.openxmlformats.org/officeDocument/2006/relationships/hyperlink" Target="https://en.wikipedia.org/wiki/Clinton_County,_Missouri" TargetMode="External"/><Relationship Id="rId491" Type="http://schemas.openxmlformats.org/officeDocument/2006/relationships/hyperlink" Target="https://en.wikipedia.org/wiki/Yuba_County,_California" TargetMode="External"/><Relationship Id="rId490" Type="http://schemas.openxmlformats.org/officeDocument/2006/relationships/hyperlink" Target="https://en.wikipedia.org/wiki/California" TargetMode="External"/><Relationship Id="rId489" Type="http://schemas.openxmlformats.org/officeDocument/2006/relationships/hyperlink" Target="https://en.wikipedia.org/wiki/Yolo_County,_California" TargetMode="External"/><Relationship Id="rId5670" Type="http://schemas.openxmlformats.org/officeDocument/2006/relationships/hyperlink" Target="https://en.wikipedia.org/wiki/Virginia" TargetMode="External"/><Relationship Id="rId484" Type="http://schemas.openxmlformats.org/officeDocument/2006/relationships/hyperlink" Target="https://en.wikipedia.org/wiki/California" TargetMode="External"/><Relationship Id="rId3010" Type="http://schemas.openxmlformats.org/officeDocument/2006/relationships/hyperlink" Target="https://en.wikipedia.org/wiki/Missouri" TargetMode="External"/><Relationship Id="rId4341" Type="http://schemas.openxmlformats.org/officeDocument/2006/relationships/hyperlink" Target="https://en.wikipedia.org/wiki/Kiowa_County,_Oklahoma" TargetMode="External"/><Relationship Id="rId5673" Type="http://schemas.openxmlformats.org/officeDocument/2006/relationships/hyperlink" Target="https://en.wikipedia.org/wiki/Buckingham_County,_Virginia" TargetMode="External"/><Relationship Id="rId483" Type="http://schemas.openxmlformats.org/officeDocument/2006/relationships/hyperlink" Target="https://en.wikipedia.org/wiki/Tulare_County,_California" TargetMode="External"/><Relationship Id="rId4340" Type="http://schemas.openxmlformats.org/officeDocument/2006/relationships/hyperlink" Target="https://en.wikipedia.org/wiki/Oklahoma" TargetMode="External"/><Relationship Id="rId5674" Type="http://schemas.openxmlformats.org/officeDocument/2006/relationships/hyperlink" Target="https://en.wikipedia.org/wiki/Virginia" TargetMode="External"/><Relationship Id="rId482" Type="http://schemas.openxmlformats.org/officeDocument/2006/relationships/hyperlink" Target="https://en.wikipedia.org/wiki/California" TargetMode="External"/><Relationship Id="rId3012" Type="http://schemas.openxmlformats.org/officeDocument/2006/relationships/hyperlink" Target="https://en.wikipedia.org/wiki/Missouri" TargetMode="External"/><Relationship Id="rId4343" Type="http://schemas.openxmlformats.org/officeDocument/2006/relationships/hyperlink" Target="https://en.wikipedia.org/wiki/Latimer_County,_Oklahoma" TargetMode="External"/><Relationship Id="rId5671" Type="http://schemas.openxmlformats.org/officeDocument/2006/relationships/hyperlink" Target="https://en.wikipedia.org/wiki/Buchanan_County,_Virginia" TargetMode="External"/><Relationship Id="rId481" Type="http://schemas.openxmlformats.org/officeDocument/2006/relationships/hyperlink" Target="https://en.wikipedia.org/wiki/Trinity_County,_California" TargetMode="External"/><Relationship Id="rId3011" Type="http://schemas.openxmlformats.org/officeDocument/2006/relationships/hyperlink" Target="https://en.wikipedia.org/wiki/Chariton_County,_Missouri" TargetMode="External"/><Relationship Id="rId4342" Type="http://schemas.openxmlformats.org/officeDocument/2006/relationships/hyperlink" Target="https://en.wikipedia.org/wiki/Oklahoma" TargetMode="External"/><Relationship Id="rId5672" Type="http://schemas.openxmlformats.org/officeDocument/2006/relationships/hyperlink" Target="https://en.wikipedia.org/wiki/Virginia" TargetMode="External"/><Relationship Id="rId488" Type="http://schemas.openxmlformats.org/officeDocument/2006/relationships/hyperlink" Target="https://en.wikipedia.org/wiki/California" TargetMode="External"/><Relationship Id="rId3014" Type="http://schemas.openxmlformats.org/officeDocument/2006/relationships/hyperlink" Target="https://en.wikipedia.org/wiki/Missouri" TargetMode="External"/><Relationship Id="rId4345" Type="http://schemas.openxmlformats.org/officeDocument/2006/relationships/hyperlink" Target="https://en.wikipedia.org/wiki/Le_Flore_County,_Oklahoma" TargetMode="External"/><Relationship Id="rId5677" Type="http://schemas.openxmlformats.org/officeDocument/2006/relationships/hyperlink" Target="https://en.wikipedia.org/wiki/Caroline_County,_Virginia" TargetMode="External"/><Relationship Id="rId487" Type="http://schemas.openxmlformats.org/officeDocument/2006/relationships/hyperlink" Target="https://en.wikipedia.org/wiki/Ventura_County,_California" TargetMode="External"/><Relationship Id="rId3013" Type="http://schemas.openxmlformats.org/officeDocument/2006/relationships/hyperlink" Target="https://en.wikipedia.org/wiki/Christian_County,_Missouri" TargetMode="External"/><Relationship Id="rId4344" Type="http://schemas.openxmlformats.org/officeDocument/2006/relationships/hyperlink" Target="https://en.wikipedia.org/wiki/Oklahoma" TargetMode="External"/><Relationship Id="rId5678" Type="http://schemas.openxmlformats.org/officeDocument/2006/relationships/hyperlink" Target="https://en.wikipedia.org/wiki/Virginia" TargetMode="External"/><Relationship Id="rId486" Type="http://schemas.openxmlformats.org/officeDocument/2006/relationships/hyperlink" Target="https://en.wikipedia.org/wiki/California" TargetMode="External"/><Relationship Id="rId3016" Type="http://schemas.openxmlformats.org/officeDocument/2006/relationships/hyperlink" Target="https://en.wikipedia.org/wiki/Missouri" TargetMode="External"/><Relationship Id="rId4347" Type="http://schemas.openxmlformats.org/officeDocument/2006/relationships/hyperlink" Target="https://en.wikipedia.org/wiki/Lincoln_County,_Oklahoma" TargetMode="External"/><Relationship Id="rId5675" Type="http://schemas.openxmlformats.org/officeDocument/2006/relationships/hyperlink" Target="https://en.wikipedia.org/wiki/Campbell_County,_Virginia" TargetMode="External"/><Relationship Id="rId485" Type="http://schemas.openxmlformats.org/officeDocument/2006/relationships/hyperlink" Target="https://en.wikipedia.org/wiki/Tuolumne_County,_California" TargetMode="External"/><Relationship Id="rId3015" Type="http://schemas.openxmlformats.org/officeDocument/2006/relationships/hyperlink" Target="https://en.wikipedia.org/wiki/Clark_County,_Missouri" TargetMode="External"/><Relationship Id="rId4346" Type="http://schemas.openxmlformats.org/officeDocument/2006/relationships/hyperlink" Target="https://en.wikipedia.org/wiki/Oklahoma" TargetMode="External"/><Relationship Id="rId5676" Type="http://schemas.openxmlformats.org/officeDocument/2006/relationships/hyperlink" Target="https://en.wikipedia.org/wiki/Virginia" TargetMode="External"/><Relationship Id="rId3007" Type="http://schemas.openxmlformats.org/officeDocument/2006/relationships/hyperlink" Target="https://en.wikipedia.org/wiki/Cass_County,_Missouri" TargetMode="External"/><Relationship Id="rId4338" Type="http://schemas.openxmlformats.org/officeDocument/2006/relationships/hyperlink" Target="https://en.wikipedia.org/wiki/Oklahoma" TargetMode="External"/><Relationship Id="rId3006" Type="http://schemas.openxmlformats.org/officeDocument/2006/relationships/hyperlink" Target="https://en.wikipedia.org/wiki/Missouri" TargetMode="External"/><Relationship Id="rId4337" Type="http://schemas.openxmlformats.org/officeDocument/2006/relationships/hyperlink" Target="https://en.wikipedia.org/wiki/Kay_County,_Oklahoma" TargetMode="External"/><Relationship Id="rId3009" Type="http://schemas.openxmlformats.org/officeDocument/2006/relationships/hyperlink" Target="https://en.wikipedia.org/wiki/Cedar_County,_Missouri" TargetMode="External"/><Relationship Id="rId5668" Type="http://schemas.openxmlformats.org/officeDocument/2006/relationships/hyperlink" Target="https://en.wikipedia.org/wiki/Virginia" TargetMode="External"/><Relationship Id="rId3008" Type="http://schemas.openxmlformats.org/officeDocument/2006/relationships/hyperlink" Target="https://en.wikipedia.org/wiki/Missouri" TargetMode="External"/><Relationship Id="rId4339" Type="http://schemas.openxmlformats.org/officeDocument/2006/relationships/hyperlink" Target="https://en.wikipedia.org/wiki/Kingfisher_County,_Oklahoma" TargetMode="External"/><Relationship Id="rId5669" Type="http://schemas.openxmlformats.org/officeDocument/2006/relationships/hyperlink" Target="https://en.wikipedia.org/wiki/Brunswick_County,_Virginia" TargetMode="External"/><Relationship Id="rId480" Type="http://schemas.openxmlformats.org/officeDocument/2006/relationships/hyperlink" Target="https://en.wikipedia.org/wiki/California" TargetMode="External"/><Relationship Id="rId479" Type="http://schemas.openxmlformats.org/officeDocument/2006/relationships/hyperlink" Target="https://en.wikipedia.org/wiki/Tehama_County,_California" TargetMode="External"/><Relationship Id="rId478" Type="http://schemas.openxmlformats.org/officeDocument/2006/relationships/hyperlink" Target="https://en.wikipedia.org/wiki/California" TargetMode="External"/><Relationship Id="rId473" Type="http://schemas.openxmlformats.org/officeDocument/2006/relationships/hyperlink" Target="https://en.wikipedia.org/wiki/Sonoma_County,_California" TargetMode="External"/><Relationship Id="rId4330" Type="http://schemas.openxmlformats.org/officeDocument/2006/relationships/hyperlink" Target="https://en.wikipedia.org/wiki/Oklahoma" TargetMode="External"/><Relationship Id="rId5662" Type="http://schemas.openxmlformats.org/officeDocument/2006/relationships/hyperlink" Target="https://en.wikipedia.org/wiki/Virginia" TargetMode="External"/><Relationship Id="rId472" Type="http://schemas.openxmlformats.org/officeDocument/2006/relationships/hyperlink" Target="https://en.wikipedia.org/wiki/California" TargetMode="External"/><Relationship Id="rId5663" Type="http://schemas.openxmlformats.org/officeDocument/2006/relationships/hyperlink" Target="https://en.wikipedia.org/wiki/Bedford_County,_Virginia" TargetMode="External"/><Relationship Id="rId471" Type="http://schemas.openxmlformats.org/officeDocument/2006/relationships/hyperlink" Target="https://en.wikipedia.org/wiki/Solano_County,_California" TargetMode="External"/><Relationship Id="rId3001" Type="http://schemas.openxmlformats.org/officeDocument/2006/relationships/hyperlink" Target="https://en.wikipedia.org/wiki/Cape_Girardeau_County,_Missouri" TargetMode="External"/><Relationship Id="rId4332" Type="http://schemas.openxmlformats.org/officeDocument/2006/relationships/hyperlink" Target="https://en.wikipedia.org/wiki/Oklahoma" TargetMode="External"/><Relationship Id="rId5660" Type="http://schemas.openxmlformats.org/officeDocument/2006/relationships/hyperlink" Target="https://en.wikipedia.org/wiki/Virginia" TargetMode="External"/><Relationship Id="rId470" Type="http://schemas.openxmlformats.org/officeDocument/2006/relationships/hyperlink" Target="https://en.wikipedia.org/wiki/California" TargetMode="External"/><Relationship Id="rId3000" Type="http://schemas.openxmlformats.org/officeDocument/2006/relationships/hyperlink" Target="https://en.wikipedia.org/wiki/Missouri" TargetMode="External"/><Relationship Id="rId4331" Type="http://schemas.openxmlformats.org/officeDocument/2006/relationships/hyperlink" Target="https://en.wikipedia.org/wiki/Jackson_County,_Oklahoma" TargetMode="External"/><Relationship Id="rId5661" Type="http://schemas.openxmlformats.org/officeDocument/2006/relationships/hyperlink" Target="https://en.wikipedia.org/wiki/Bath_County,_Virginia" TargetMode="External"/><Relationship Id="rId477" Type="http://schemas.openxmlformats.org/officeDocument/2006/relationships/hyperlink" Target="https://en.wikipedia.org/wiki/Sutter_County,_California" TargetMode="External"/><Relationship Id="rId3003" Type="http://schemas.openxmlformats.org/officeDocument/2006/relationships/hyperlink" Target="https://en.wikipedia.org/wiki/Carroll_County,_Missouri" TargetMode="External"/><Relationship Id="rId4334" Type="http://schemas.openxmlformats.org/officeDocument/2006/relationships/hyperlink" Target="https://en.wikipedia.org/wiki/Oklahoma" TargetMode="External"/><Relationship Id="rId5666" Type="http://schemas.openxmlformats.org/officeDocument/2006/relationships/hyperlink" Target="https://en.wikipedia.org/wiki/Virginia" TargetMode="External"/><Relationship Id="rId476" Type="http://schemas.openxmlformats.org/officeDocument/2006/relationships/hyperlink" Target="https://en.wikipedia.org/wiki/California" TargetMode="External"/><Relationship Id="rId3002" Type="http://schemas.openxmlformats.org/officeDocument/2006/relationships/hyperlink" Target="https://en.wikipedia.org/wiki/Missouri" TargetMode="External"/><Relationship Id="rId4333" Type="http://schemas.openxmlformats.org/officeDocument/2006/relationships/hyperlink" Target="https://en.wikipedia.org/wiki/Jefferson_County,_Oklahoma" TargetMode="External"/><Relationship Id="rId5667" Type="http://schemas.openxmlformats.org/officeDocument/2006/relationships/hyperlink" Target="https://en.wikipedia.org/wiki/Botetourt_County,_Virginia" TargetMode="External"/><Relationship Id="rId475" Type="http://schemas.openxmlformats.org/officeDocument/2006/relationships/hyperlink" Target="https://en.wikipedia.org/wiki/Stanislaus_County,_California" TargetMode="External"/><Relationship Id="rId3005" Type="http://schemas.openxmlformats.org/officeDocument/2006/relationships/hyperlink" Target="https://en.wikipedia.org/wiki/Carter_County,_Missouri" TargetMode="External"/><Relationship Id="rId4336" Type="http://schemas.openxmlformats.org/officeDocument/2006/relationships/hyperlink" Target="https://en.wikipedia.org/wiki/Oklahoma" TargetMode="External"/><Relationship Id="rId5664" Type="http://schemas.openxmlformats.org/officeDocument/2006/relationships/hyperlink" Target="https://en.wikipedia.org/wiki/Virginia" TargetMode="External"/><Relationship Id="rId474" Type="http://schemas.openxmlformats.org/officeDocument/2006/relationships/hyperlink" Target="https://en.wikipedia.org/wiki/California" TargetMode="External"/><Relationship Id="rId3004" Type="http://schemas.openxmlformats.org/officeDocument/2006/relationships/hyperlink" Target="https://en.wikipedia.org/wiki/Missouri" TargetMode="External"/><Relationship Id="rId4335" Type="http://schemas.openxmlformats.org/officeDocument/2006/relationships/hyperlink" Target="https://en.wikipedia.org/wiki/Johnston_County,_Oklahoma" TargetMode="External"/><Relationship Id="rId5665" Type="http://schemas.openxmlformats.org/officeDocument/2006/relationships/hyperlink" Target="https://en.wikipedia.org/wiki/Bland_County,_Virginia" TargetMode="External"/><Relationship Id="rId5615" Type="http://schemas.openxmlformats.org/officeDocument/2006/relationships/hyperlink" Target="https://en.wikipedia.org/wiki/Weber_County,_Utah" TargetMode="External"/><Relationship Id="rId5616" Type="http://schemas.openxmlformats.org/officeDocument/2006/relationships/hyperlink" Target="https://en.wikipedia.org/wiki/Vermont" TargetMode="External"/><Relationship Id="rId5613" Type="http://schemas.openxmlformats.org/officeDocument/2006/relationships/hyperlink" Target="https://en.wikipedia.org/wiki/Wayne_County,_Utah" TargetMode="External"/><Relationship Id="rId5614" Type="http://schemas.openxmlformats.org/officeDocument/2006/relationships/hyperlink" Target="https://en.wikipedia.org/wiki/Utah" TargetMode="External"/><Relationship Id="rId5619" Type="http://schemas.openxmlformats.org/officeDocument/2006/relationships/hyperlink" Target="https://en.wikipedia.org/wiki/Bennington_County,_Vermont" TargetMode="External"/><Relationship Id="rId5617" Type="http://schemas.openxmlformats.org/officeDocument/2006/relationships/hyperlink" Target="https://en.wikipedia.org/wiki/Addison_County,_Vermont" TargetMode="External"/><Relationship Id="rId5618" Type="http://schemas.openxmlformats.org/officeDocument/2006/relationships/hyperlink" Target="https://en.wikipedia.org/wiki/Vermont" TargetMode="External"/><Relationship Id="rId426" Type="http://schemas.openxmlformats.org/officeDocument/2006/relationships/hyperlink" Target="https://en.wikipedia.org/wiki/California" TargetMode="External"/><Relationship Id="rId425" Type="http://schemas.openxmlformats.org/officeDocument/2006/relationships/hyperlink" Target="https://en.wikipedia.org/wiki/Modoc_County,_California" TargetMode="External"/><Relationship Id="rId424" Type="http://schemas.openxmlformats.org/officeDocument/2006/relationships/hyperlink" Target="https://en.wikipedia.org/wiki/California" TargetMode="External"/><Relationship Id="rId423" Type="http://schemas.openxmlformats.org/officeDocument/2006/relationships/hyperlink" Target="https://en.wikipedia.org/wiki/Merced_County,_California" TargetMode="External"/><Relationship Id="rId429" Type="http://schemas.openxmlformats.org/officeDocument/2006/relationships/hyperlink" Target="https://en.wikipedia.org/wiki/Monterey_County,_California" TargetMode="External"/><Relationship Id="rId428" Type="http://schemas.openxmlformats.org/officeDocument/2006/relationships/hyperlink" Target="https://en.wikipedia.org/wiki/California" TargetMode="External"/><Relationship Id="rId427" Type="http://schemas.openxmlformats.org/officeDocument/2006/relationships/hyperlink" Target="https://en.wikipedia.org/wiki/Mono_County,_California" TargetMode="External"/><Relationship Id="rId422" Type="http://schemas.openxmlformats.org/officeDocument/2006/relationships/hyperlink" Target="https://en.wikipedia.org/wiki/California" TargetMode="External"/><Relationship Id="rId5611" Type="http://schemas.openxmlformats.org/officeDocument/2006/relationships/hyperlink" Target="https://en.wikipedia.org/wiki/Washington_County,_Utah" TargetMode="External"/><Relationship Id="rId421" Type="http://schemas.openxmlformats.org/officeDocument/2006/relationships/hyperlink" Target="https://en.wikipedia.org/wiki/Mendocino_County,_California" TargetMode="External"/><Relationship Id="rId5612" Type="http://schemas.openxmlformats.org/officeDocument/2006/relationships/hyperlink" Target="https://en.wikipedia.org/wiki/Utah" TargetMode="External"/><Relationship Id="rId420" Type="http://schemas.openxmlformats.org/officeDocument/2006/relationships/hyperlink" Target="https://en.wikipedia.org/wiki/California" TargetMode="External"/><Relationship Id="rId5610" Type="http://schemas.openxmlformats.org/officeDocument/2006/relationships/hyperlink" Target="https://en.wikipedia.org/wiki/Utah" TargetMode="External"/><Relationship Id="rId5604" Type="http://schemas.openxmlformats.org/officeDocument/2006/relationships/hyperlink" Target="https://en.wikipedia.org/wiki/Utah" TargetMode="External"/><Relationship Id="rId5605" Type="http://schemas.openxmlformats.org/officeDocument/2006/relationships/hyperlink" Target="https://en.wikipedia.org/wiki/Uintah_County,_Utah" TargetMode="External"/><Relationship Id="rId5602" Type="http://schemas.openxmlformats.org/officeDocument/2006/relationships/hyperlink" Target="https://en.wikipedia.org/wiki/Utah" TargetMode="External"/><Relationship Id="rId5603" Type="http://schemas.openxmlformats.org/officeDocument/2006/relationships/hyperlink" Target="https://en.wikipedia.org/wiki/Tooele_County,_Utah" TargetMode="External"/><Relationship Id="rId5608" Type="http://schemas.openxmlformats.org/officeDocument/2006/relationships/hyperlink" Target="https://en.wikipedia.org/wiki/Utah" TargetMode="External"/><Relationship Id="rId5609" Type="http://schemas.openxmlformats.org/officeDocument/2006/relationships/hyperlink" Target="https://en.wikipedia.org/wiki/Wasatch_County,_Utah" TargetMode="External"/><Relationship Id="rId5606" Type="http://schemas.openxmlformats.org/officeDocument/2006/relationships/hyperlink" Target="https://en.wikipedia.org/wiki/Utah" TargetMode="External"/><Relationship Id="rId5607" Type="http://schemas.openxmlformats.org/officeDocument/2006/relationships/hyperlink" Target="https://en.wikipedia.org/wiki/Utah_County,_Utah" TargetMode="External"/><Relationship Id="rId415" Type="http://schemas.openxmlformats.org/officeDocument/2006/relationships/hyperlink" Target="https://en.wikipedia.org/wiki/Madera_County,_California" TargetMode="External"/><Relationship Id="rId414" Type="http://schemas.openxmlformats.org/officeDocument/2006/relationships/hyperlink" Target="https://en.wikipedia.org/wiki/California" TargetMode="External"/><Relationship Id="rId413" Type="http://schemas.openxmlformats.org/officeDocument/2006/relationships/hyperlink" Target="https://en.wikipedia.org/wiki/Los_Angeles_County,_California" TargetMode="External"/><Relationship Id="rId412" Type="http://schemas.openxmlformats.org/officeDocument/2006/relationships/hyperlink" Target="https://en.wikipedia.org/wiki/California" TargetMode="External"/><Relationship Id="rId419" Type="http://schemas.openxmlformats.org/officeDocument/2006/relationships/hyperlink" Target="https://en.wikipedia.org/wiki/Mariposa_County,_California" TargetMode="External"/><Relationship Id="rId418" Type="http://schemas.openxmlformats.org/officeDocument/2006/relationships/hyperlink" Target="https://en.wikipedia.org/wiki/California" TargetMode="External"/><Relationship Id="rId417" Type="http://schemas.openxmlformats.org/officeDocument/2006/relationships/hyperlink" Target="https://en.wikipedia.org/wiki/Marin_County,_California" TargetMode="External"/><Relationship Id="rId416" Type="http://schemas.openxmlformats.org/officeDocument/2006/relationships/hyperlink" Target="https://en.wikipedia.org/wiki/California" TargetMode="External"/><Relationship Id="rId411" Type="http://schemas.openxmlformats.org/officeDocument/2006/relationships/hyperlink" Target="https://en.wikipedia.org/wiki/Lassen_County,_California" TargetMode="External"/><Relationship Id="rId5600" Type="http://schemas.openxmlformats.org/officeDocument/2006/relationships/hyperlink" Target="https://en.wikipedia.org/wiki/Utah" TargetMode="External"/><Relationship Id="rId410" Type="http://schemas.openxmlformats.org/officeDocument/2006/relationships/hyperlink" Target="https://en.wikipedia.org/wiki/California" TargetMode="External"/><Relationship Id="rId5601" Type="http://schemas.openxmlformats.org/officeDocument/2006/relationships/hyperlink" Target="https://en.wikipedia.org/wiki/Summit_County,_Utah" TargetMode="External"/><Relationship Id="rId4305" Type="http://schemas.openxmlformats.org/officeDocument/2006/relationships/hyperlink" Target="https://en.wikipedia.org/wiki/Custer_County,_Oklahoma" TargetMode="External"/><Relationship Id="rId5637" Type="http://schemas.openxmlformats.org/officeDocument/2006/relationships/hyperlink" Target="https://en.wikipedia.org/wiki/Rutland_County,_Vermont" TargetMode="External"/><Relationship Id="rId4304" Type="http://schemas.openxmlformats.org/officeDocument/2006/relationships/hyperlink" Target="https://en.wikipedia.org/wiki/Oklahoma" TargetMode="External"/><Relationship Id="rId5638" Type="http://schemas.openxmlformats.org/officeDocument/2006/relationships/hyperlink" Target="https://en.wikipedia.org/wiki/Vermont" TargetMode="External"/><Relationship Id="rId4307" Type="http://schemas.openxmlformats.org/officeDocument/2006/relationships/hyperlink" Target="https://en.wikipedia.org/wiki/Delaware_County,_Oklahoma" TargetMode="External"/><Relationship Id="rId5635" Type="http://schemas.openxmlformats.org/officeDocument/2006/relationships/hyperlink" Target="https://en.wikipedia.org/wiki/Orleans_County,_Vermont" TargetMode="External"/><Relationship Id="rId4306" Type="http://schemas.openxmlformats.org/officeDocument/2006/relationships/hyperlink" Target="https://en.wikipedia.org/wiki/Oklahoma" TargetMode="External"/><Relationship Id="rId5636" Type="http://schemas.openxmlformats.org/officeDocument/2006/relationships/hyperlink" Target="https://en.wikipedia.org/wiki/Vermont" TargetMode="External"/><Relationship Id="rId4309" Type="http://schemas.openxmlformats.org/officeDocument/2006/relationships/hyperlink" Target="https://en.wikipedia.org/wiki/Dewey_County,_Oklahoma" TargetMode="External"/><Relationship Id="rId4308" Type="http://schemas.openxmlformats.org/officeDocument/2006/relationships/hyperlink" Target="https://en.wikipedia.org/wiki/Oklahoma" TargetMode="External"/><Relationship Id="rId5639" Type="http://schemas.openxmlformats.org/officeDocument/2006/relationships/hyperlink" Target="https://en.wikipedia.org/wiki/Washington_County,_Vermont" TargetMode="External"/><Relationship Id="rId448" Type="http://schemas.openxmlformats.org/officeDocument/2006/relationships/hyperlink" Target="https://en.wikipedia.org/wiki/California" TargetMode="External"/><Relationship Id="rId447" Type="http://schemas.openxmlformats.org/officeDocument/2006/relationships/hyperlink" Target="https://en.wikipedia.org/wiki/San_Bernardino_County,_California" TargetMode="External"/><Relationship Id="rId446" Type="http://schemas.openxmlformats.org/officeDocument/2006/relationships/hyperlink" Target="https://en.wikipedia.org/wiki/California" TargetMode="External"/><Relationship Id="rId445" Type="http://schemas.openxmlformats.org/officeDocument/2006/relationships/hyperlink" Target="https://en.wikipedia.org/wiki/San_Benito_County,_California" TargetMode="External"/><Relationship Id="rId449" Type="http://schemas.openxmlformats.org/officeDocument/2006/relationships/hyperlink" Target="https://en.wikipedia.org/wiki/San_Diego_County,_California" TargetMode="External"/><Relationship Id="rId440" Type="http://schemas.openxmlformats.org/officeDocument/2006/relationships/hyperlink" Target="https://en.wikipedia.org/wiki/California" TargetMode="External"/><Relationship Id="rId5630" Type="http://schemas.openxmlformats.org/officeDocument/2006/relationships/hyperlink" Target="https://en.wikipedia.org/wiki/Vermont" TargetMode="External"/><Relationship Id="rId444" Type="http://schemas.openxmlformats.org/officeDocument/2006/relationships/hyperlink" Target="https://en.wikipedia.org/wiki/California" TargetMode="External"/><Relationship Id="rId4301" Type="http://schemas.openxmlformats.org/officeDocument/2006/relationships/hyperlink" Target="https://en.wikipedia.org/wiki/Craig_County,_Oklahoma" TargetMode="External"/><Relationship Id="rId5633" Type="http://schemas.openxmlformats.org/officeDocument/2006/relationships/hyperlink" Target="https://en.wikipedia.org/wiki/Orange_County,_Vermont" TargetMode="External"/><Relationship Id="rId443" Type="http://schemas.openxmlformats.org/officeDocument/2006/relationships/hyperlink" Target="https://en.wikipedia.org/wiki/Sacramento_County,_California" TargetMode="External"/><Relationship Id="rId4300" Type="http://schemas.openxmlformats.org/officeDocument/2006/relationships/hyperlink" Target="https://en.wikipedia.org/wiki/Oklahoma" TargetMode="External"/><Relationship Id="rId5634" Type="http://schemas.openxmlformats.org/officeDocument/2006/relationships/hyperlink" Target="https://en.wikipedia.org/wiki/Vermont" TargetMode="External"/><Relationship Id="rId442" Type="http://schemas.openxmlformats.org/officeDocument/2006/relationships/hyperlink" Target="https://en.wikipedia.org/wiki/California" TargetMode="External"/><Relationship Id="rId4303" Type="http://schemas.openxmlformats.org/officeDocument/2006/relationships/hyperlink" Target="https://en.wikipedia.org/wiki/Creek_County,_Oklahoma" TargetMode="External"/><Relationship Id="rId5631" Type="http://schemas.openxmlformats.org/officeDocument/2006/relationships/hyperlink" Target="https://en.wikipedia.org/wiki/Lamoille_County,_Vermont" TargetMode="External"/><Relationship Id="rId441" Type="http://schemas.openxmlformats.org/officeDocument/2006/relationships/hyperlink" Target="https://en.wikipedia.org/wiki/Riverside_County,_California" TargetMode="External"/><Relationship Id="rId4302" Type="http://schemas.openxmlformats.org/officeDocument/2006/relationships/hyperlink" Target="https://en.wikipedia.org/wiki/Oklahoma" TargetMode="External"/><Relationship Id="rId5632" Type="http://schemas.openxmlformats.org/officeDocument/2006/relationships/hyperlink" Target="https://en.wikipedia.org/wiki/Vermont" TargetMode="External"/><Relationship Id="rId5626" Type="http://schemas.openxmlformats.org/officeDocument/2006/relationships/hyperlink" Target="https://en.wikipedia.org/wiki/Vermont" TargetMode="External"/><Relationship Id="rId5627" Type="http://schemas.openxmlformats.org/officeDocument/2006/relationships/hyperlink" Target="https://en.wikipedia.org/wiki/Franklin_County,_Vermont" TargetMode="External"/><Relationship Id="rId5624" Type="http://schemas.openxmlformats.org/officeDocument/2006/relationships/hyperlink" Target="https://en.wikipedia.org/wiki/Vermont" TargetMode="External"/><Relationship Id="rId5625" Type="http://schemas.openxmlformats.org/officeDocument/2006/relationships/hyperlink" Target="https://en.wikipedia.org/wiki/Essex_County,_Vermont" TargetMode="External"/><Relationship Id="rId5628" Type="http://schemas.openxmlformats.org/officeDocument/2006/relationships/hyperlink" Target="https://en.wikipedia.org/wiki/Vermont" TargetMode="External"/><Relationship Id="rId5629" Type="http://schemas.openxmlformats.org/officeDocument/2006/relationships/hyperlink" Target="https://en.wikipedia.org/wiki/Grand_Isle_County,_Vermont" TargetMode="External"/><Relationship Id="rId437" Type="http://schemas.openxmlformats.org/officeDocument/2006/relationships/hyperlink" Target="https://en.wikipedia.org/wiki/Placer_County,_California" TargetMode="External"/><Relationship Id="rId436" Type="http://schemas.openxmlformats.org/officeDocument/2006/relationships/hyperlink" Target="https://en.wikipedia.org/wiki/California" TargetMode="External"/><Relationship Id="rId435" Type="http://schemas.openxmlformats.org/officeDocument/2006/relationships/hyperlink" Target="https://en.wikipedia.org/wiki/Orange_County,_California" TargetMode="External"/><Relationship Id="rId434" Type="http://schemas.openxmlformats.org/officeDocument/2006/relationships/hyperlink" Target="https://en.wikipedia.org/wiki/California" TargetMode="External"/><Relationship Id="rId439" Type="http://schemas.openxmlformats.org/officeDocument/2006/relationships/hyperlink" Target="https://en.wikipedia.org/wiki/Plumas_County,_California" TargetMode="External"/><Relationship Id="rId438" Type="http://schemas.openxmlformats.org/officeDocument/2006/relationships/hyperlink" Target="https://en.wikipedia.org/wiki/California" TargetMode="External"/><Relationship Id="rId433" Type="http://schemas.openxmlformats.org/officeDocument/2006/relationships/hyperlink" Target="https://en.wikipedia.org/wiki/Nevada_County,_California" TargetMode="External"/><Relationship Id="rId5622" Type="http://schemas.openxmlformats.org/officeDocument/2006/relationships/hyperlink" Target="https://en.wikipedia.org/wiki/Vermont" TargetMode="External"/><Relationship Id="rId432" Type="http://schemas.openxmlformats.org/officeDocument/2006/relationships/hyperlink" Target="https://en.wikipedia.org/wiki/California" TargetMode="External"/><Relationship Id="rId5623" Type="http://schemas.openxmlformats.org/officeDocument/2006/relationships/hyperlink" Target="https://en.wikipedia.org/wiki/Chittenden_County,_Vermont" TargetMode="External"/><Relationship Id="rId431" Type="http://schemas.openxmlformats.org/officeDocument/2006/relationships/hyperlink" Target="https://en.wikipedia.org/wiki/Napa_County,_California" TargetMode="External"/><Relationship Id="rId5620" Type="http://schemas.openxmlformats.org/officeDocument/2006/relationships/hyperlink" Target="https://en.wikipedia.org/wiki/Vermont" TargetMode="External"/><Relationship Id="rId430" Type="http://schemas.openxmlformats.org/officeDocument/2006/relationships/hyperlink" Target="https://en.wikipedia.org/wiki/California" TargetMode="External"/><Relationship Id="rId5621" Type="http://schemas.openxmlformats.org/officeDocument/2006/relationships/hyperlink" Target="https://en.wikipedia.org/wiki/Caledonia_County,_Vermont" TargetMode="External"/><Relationship Id="rId6108" Type="http://schemas.openxmlformats.org/officeDocument/2006/relationships/hyperlink" Target="https://en.wikipedia.org/wiki/Wisconsin" TargetMode="External"/><Relationship Id="rId6109" Type="http://schemas.openxmlformats.org/officeDocument/2006/relationships/hyperlink" Target="https://en.wikipedia.org/wiki/Brown_County,_Wisconsin" TargetMode="External"/><Relationship Id="rId6102" Type="http://schemas.openxmlformats.org/officeDocument/2006/relationships/hyperlink" Target="https://en.wikipedia.org/wiki/Wisconsin" TargetMode="External"/><Relationship Id="rId6103" Type="http://schemas.openxmlformats.org/officeDocument/2006/relationships/hyperlink" Target="https://en.wikipedia.org/wiki/Ashland_County,_Wisconsin" TargetMode="External"/><Relationship Id="rId6100" Type="http://schemas.openxmlformats.org/officeDocument/2006/relationships/hyperlink" Target="https://en.wikipedia.org/wiki/Wisconsin" TargetMode="External"/><Relationship Id="rId6101" Type="http://schemas.openxmlformats.org/officeDocument/2006/relationships/hyperlink" Target="https://en.wikipedia.org/wiki/Adams_County,_Wisconsin" TargetMode="External"/><Relationship Id="rId6106" Type="http://schemas.openxmlformats.org/officeDocument/2006/relationships/hyperlink" Target="https://en.wikipedia.org/wiki/Wisconsin" TargetMode="External"/><Relationship Id="rId6107" Type="http://schemas.openxmlformats.org/officeDocument/2006/relationships/hyperlink" Target="https://en.wikipedia.org/wiki/Bayfield_County,_Wisconsin" TargetMode="External"/><Relationship Id="rId6104" Type="http://schemas.openxmlformats.org/officeDocument/2006/relationships/hyperlink" Target="https://en.wikipedia.org/wiki/Wisconsin" TargetMode="External"/><Relationship Id="rId6105" Type="http://schemas.openxmlformats.org/officeDocument/2006/relationships/hyperlink" Target="https://en.wikipedia.org/wiki/Barron_County,_Wisconsin" TargetMode="External"/><Relationship Id="rId6120" Type="http://schemas.openxmlformats.org/officeDocument/2006/relationships/hyperlink" Target="https://en.wikipedia.org/wiki/Wisconsin" TargetMode="External"/><Relationship Id="rId6121" Type="http://schemas.openxmlformats.org/officeDocument/2006/relationships/hyperlink" Target="https://en.wikipedia.org/wiki/Columbia_County,_Wisconsin" TargetMode="External"/><Relationship Id="rId6124" Type="http://schemas.openxmlformats.org/officeDocument/2006/relationships/hyperlink" Target="https://en.wikipedia.org/wiki/Wisconsin" TargetMode="External"/><Relationship Id="rId6125" Type="http://schemas.openxmlformats.org/officeDocument/2006/relationships/hyperlink" Target="https://en.wikipedia.org/wiki/Dane_County,_Wisconsin" TargetMode="External"/><Relationship Id="rId6122" Type="http://schemas.openxmlformats.org/officeDocument/2006/relationships/hyperlink" Target="https://en.wikipedia.org/wiki/Wisconsin" TargetMode="External"/><Relationship Id="rId6123" Type="http://schemas.openxmlformats.org/officeDocument/2006/relationships/hyperlink" Target="https://en.wikipedia.org/wiki/Crawford_County,_Wisconsin" TargetMode="External"/><Relationship Id="rId6128" Type="http://schemas.openxmlformats.org/officeDocument/2006/relationships/hyperlink" Target="https://en.wikipedia.org/wiki/Wisconsin" TargetMode="External"/><Relationship Id="rId6129" Type="http://schemas.openxmlformats.org/officeDocument/2006/relationships/hyperlink" Target="https://en.wikipedia.org/wiki/Door_County,_Wisconsin" TargetMode="External"/><Relationship Id="rId6126" Type="http://schemas.openxmlformats.org/officeDocument/2006/relationships/hyperlink" Target="https://en.wikipedia.org/wiki/Wisconsin" TargetMode="External"/><Relationship Id="rId6127" Type="http://schemas.openxmlformats.org/officeDocument/2006/relationships/hyperlink" Target="https://en.wikipedia.org/wiki/Dodge_County,_Wisconsin" TargetMode="External"/><Relationship Id="rId6119" Type="http://schemas.openxmlformats.org/officeDocument/2006/relationships/hyperlink" Target="https://en.wikipedia.org/wiki/Clark_County,_Wisconsin" TargetMode="External"/><Relationship Id="rId6110" Type="http://schemas.openxmlformats.org/officeDocument/2006/relationships/hyperlink" Target="https://en.wikipedia.org/wiki/Wisconsin" TargetMode="External"/><Relationship Id="rId6113" Type="http://schemas.openxmlformats.org/officeDocument/2006/relationships/hyperlink" Target="https://en.wikipedia.org/wiki/Burnett_County,_Wisconsin" TargetMode="External"/><Relationship Id="rId6114" Type="http://schemas.openxmlformats.org/officeDocument/2006/relationships/hyperlink" Target="https://en.wikipedia.org/wiki/Wisconsin" TargetMode="External"/><Relationship Id="rId6111" Type="http://schemas.openxmlformats.org/officeDocument/2006/relationships/hyperlink" Target="https://en.wikipedia.org/wiki/Buffalo_County,_Wisconsin" TargetMode="External"/><Relationship Id="rId6112" Type="http://schemas.openxmlformats.org/officeDocument/2006/relationships/hyperlink" Target="https://en.wikipedia.org/wiki/Wisconsin" TargetMode="External"/><Relationship Id="rId6117" Type="http://schemas.openxmlformats.org/officeDocument/2006/relationships/hyperlink" Target="https://en.wikipedia.org/wiki/Chippewa_County,_Wisconsin" TargetMode="External"/><Relationship Id="rId6118" Type="http://schemas.openxmlformats.org/officeDocument/2006/relationships/hyperlink" Target="https://en.wikipedia.org/wiki/Wisconsin" TargetMode="External"/><Relationship Id="rId6115" Type="http://schemas.openxmlformats.org/officeDocument/2006/relationships/hyperlink" Target="https://en.wikipedia.org/wiki/Calumet_County,_Wisconsin" TargetMode="External"/><Relationship Id="rId6116" Type="http://schemas.openxmlformats.org/officeDocument/2006/relationships/hyperlink" Target="https://en.wikipedia.org/wiki/Wisconsin" TargetMode="External"/><Relationship Id="rId1" Type="http://schemas.openxmlformats.org/officeDocument/2006/relationships/hyperlink" Target="https://en.wikipedia.org/wiki/U.S._state" TargetMode="External"/><Relationship Id="rId2" Type="http://schemas.openxmlformats.org/officeDocument/2006/relationships/hyperlink" Target="https://en.wikipedia.org/wiki/County_(United_States)" TargetMode="External"/><Relationship Id="rId3" Type="http://schemas.openxmlformats.org/officeDocument/2006/relationships/hyperlink" Target="https://en.wikipedia.org/wiki/United_States_Census,_2010" TargetMode="External"/><Relationship Id="rId4" Type="http://schemas.openxmlformats.org/officeDocument/2006/relationships/hyperlink" Target="https://en.wikipedia.org/wiki/Latitude" TargetMode="External"/><Relationship Id="rId9" Type="http://schemas.openxmlformats.org/officeDocument/2006/relationships/hyperlink" Target="https://en.wikipedia.org/wiki/Baldwin_County,_Alabama" TargetMode="External"/><Relationship Id="rId5" Type="http://schemas.openxmlformats.org/officeDocument/2006/relationships/hyperlink" Target="https://en.wikipedia.org/wiki/Longitude" TargetMode="External"/><Relationship Id="rId6" Type="http://schemas.openxmlformats.org/officeDocument/2006/relationships/hyperlink" Target="https://en.wikipedia.org/wiki/Alabama" TargetMode="External"/><Relationship Id="rId7" Type="http://schemas.openxmlformats.org/officeDocument/2006/relationships/hyperlink" Target="https://en.wikipedia.org/wiki/Autauga_County,_Alabama" TargetMode="External"/><Relationship Id="rId8" Type="http://schemas.openxmlformats.org/officeDocument/2006/relationships/hyperlink" Target="https://en.wikipedia.org/wiki/Alabama" TargetMode="External"/><Relationship Id="rId3911" Type="http://schemas.openxmlformats.org/officeDocument/2006/relationships/hyperlink" Target="https://en.wikipedia.org/wiki/Nash_County,_North_Carolina" TargetMode="External"/><Relationship Id="rId3910" Type="http://schemas.openxmlformats.org/officeDocument/2006/relationships/hyperlink" Target="https://en.wikipedia.org/wiki/North_Carolina" TargetMode="External"/><Relationship Id="rId3913" Type="http://schemas.openxmlformats.org/officeDocument/2006/relationships/hyperlink" Target="https://en.wikipedia.org/wiki/New_Hanover_County,_North_Carolina" TargetMode="External"/><Relationship Id="rId3912" Type="http://schemas.openxmlformats.org/officeDocument/2006/relationships/hyperlink" Target="https://en.wikipedia.org/wiki/North_Carolina" TargetMode="External"/><Relationship Id="rId3915" Type="http://schemas.openxmlformats.org/officeDocument/2006/relationships/hyperlink" Target="https://en.wikipedia.org/wiki/Northampton_County,_North_Carolina" TargetMode="External"/><Relationship Id="rId3914" Type="http://schemas.openxmlformats.org/officeDocument/2006/relationships/hyperlink" Target="https://en.wikipedia.org/wiki/North_Carolina" TargetMode="External"/><Relationship Id="rId3917" Type="http://schemas.openxmlformats.org/officeDocument/2006/relationships/hyperlink" Target="https://en.wikipedia.org/wiki/Onslow_County,_North_Carolina" TargetMode="External"/><Relationship Id="rId3916" Type="http://schemas.openxmlformats.org/officeDocument/2006/relationships/hyperlink" Target="https://en.wikipedia.org/wiki/North_Carolina" TargetMode="External"/><Relationship Id="rId3919" Type="http://schemas.openxmlformats.org/officeDocument/2006/relationships/hyperlink" Target="https://en.wikipedia.org/wiki/Orange_County,_North_Carolina" TargetMode="External"/><Relationship Id="rId3918" Type="http://schemas.openxmlformats.org/officeDocument/2006/relationships/hyperlink" Target="https://en.wikipedia.org/wiki/North_Carolina" TargetMode="External"/><Relationship Id="rId6190" Type="http://schemas.openxmlformats.org/officeDocument/2006/relationships/hyperlink" Target="https://en.wikipedia.org/wiki/Wisconsin" TargetMode="External"/><Relationship Id="rId6182" Type="http://schemas.openxmlformats.org/officeDocument/2006/relationships/hyperlink" Target="https://en.wikipedia.org/wiki/Wisconsin" TargetMode="External"/><Relationship Id="rId6183" Type="http://schemas.openxmlformats.org/officeDocument/2006/relationships/hyperlink" Target="https://en.wikipedia.org/wiki/Monroe_County,_Wisconsin" TargetMode="External"/><Relationship Id="rId6180" Type="http://schemas.openxmlformats.org/officeDocument/2006/relationships/hyperlink" Target="https://en.wikipedia.org/wiki/Wisconsin" TargetMode="External"/><Relationship Id="rId6181" Type="http://schemas.openxmlformats.org/officeDocument/2006/relationships/hyperlink" Target="https://en.wikipedia.org/wiki/Milwaukee_County,_Wisconsin" TargetMode="External"/><Relationship Id="rId6186" Type="http://schemas.openxmlformats.org/officeDocument/2006/relationships/hyperlink" Target="https://en.wikipedia.org/wiki/Wisconsin" TargetMode="External"/><Relationship Id="rId6187" Type="http://schemas.openxmlformats.org/officeDocument/2006/relationships/hyperlink" Target="https://en.wikipedia.org/wiki/Oneida_County,_Wisconsin" TargetMode="External"/><Relationship Id="rId6184" Type="http://schemas.openxmlformats.org/officeDocument/2006/relationships/hyperlink" Target="https://en.wikipedia.org/wiki/Wisconsin" TargetMode="External"/><Relationship Id="rId6185" Type="http://schemas.openxmlformats.org/officeDocument/2006/relationships/hyperlink" Target="https://en.wikipedia.org/wiki/Oconto_County,_Wisconsin" TargetMode="External"/><Relationship Id="rId6188" Type="http://schemas.openxmlformats.org/officeDocument/2006/relationships/hyperlink" Target="https://en.wikipedia.org/wiki/Wisconsin" TargetMode="External"/><Relationship Id="rId6189" Type="http://schemas.openxmlformats.org/officeDocument/2006/relationships/hyperlink" Target="https://en.wikipedia.org/wiki/Outagamie_County,_Wisconsin" TargetMode="External"/><Relationship Id="rId3900" Type="http://schemas.openxmlformats.org/officeDocument/2006/relationships/hyperlink" Target="https://en.wikipedia.org/wiki/North_Carolina" TargetMode="External"/><Relationship Id="rId3902" Type="http://schemas.openxmlformats.org/officeDocument/2006/relationships/hyperlink" Target="https://en.wikipedia.org/wiki/North_Carolina" TargetMode="External"/><Relationship Id="rId3901" Type="http://schemas.openxmlformats.org/officeDocument/2006/relationships/hyperlink" Target="https://en.wikipedia.org/wiki/Martin_County,_North_Carolina" TargetMode="External"/><Relationship Id="rId3904" Type="http://schemas.openxmlformats.org/officeDocument/2006/relationships/hyperlink" Target="https://en.wikipedia.org/wiki/North_Carolina" TargetMode="External"/><Relationship Id="rId3903" Type="http://schemas.openxmlformats.org/officeDocument/2006/relationships/hyperlink" Target="https://en.wikipedia.org/wiki/Mecklenburg_County,_North_Carolina" TargetMode="External"/><Relationship Id="rId3906" Type="http://schemas.openxmlformats.org/officeDocument/2006/relationships/hyperlink" Target="https://en.wikipedia.org/wiki/North_Carolina" TargetMode="External"/><Relationship Id="rId3905" Type="http://schemas.openxmlformats.org/officeDocument/2006/relationships/hyperlink" Target="https://en.wikipedia.org/wiki/Mitchell_County,_North_Carolina" TargetMode="External"/><Relationship Id="rId3908" Type="http://schemas.openxmlformats.org/officeDocument/2006/relationships/hyperlink" Target="https://en.wikipedia.org/wiki/North_Carolina" TargetMode="External"/><Relationship Id="rId3907" Type="http://schemas.openxmlformats.org/officeDocument/2006/relationships/hyperlink" Target="https://en.wikipedia.org/wiki/Montgomery_County,_North_Carolina" TargetMode="External"/><Relationship Id="rId3909" Type="http://schemas.openxmlformats.org/officeDocument/2006/relationships/hyperlink" Target="https://en.wikipedia.org/wiki/Moore_County,_North_Carolina" TargetMode="External"/><Relationship Id="rId6171" Type="http://schemas.openxmlformats.org/officeDocument/2006/relationships/hyperlink" Target="https://en.wikipedia.org/wiki/Manitowoc_County,_Wisconsin" TargetMode="External"/><Relationship Id="rId6172" Type="http://schemas.openxmlformats.org/officeDocument/2006/relationships/hyperlink" Target="https://en.wikipedia.org/wiki/Wisconsin" TargetMode="External"/><Relationship Id="rId6170" Type="http://schemas.openxmlformats.org/officeDocument/2006/relationships/hyperlink" Target="https://en.wikipedia.org/wiki/Wisconsin" TargetMode="External"/><Relationship Id="rId6175" Type="http://schemas.openxmlformats.org/officeDocument/2006/relationships/hyperlink" Target="https://en.wikipedia.org/wiki/Marinette_County,_Wisconsin" TargetMode="External"/><Relationship Id="rId6176" Type="http://schemas.openxmlformats.org/officeDocument/2006/relationships/hyperlink" Target="https://en.wikipedia.org/wiki/Wisconsin" TargetMode="External"/><Relationship Id="rId6173" Type="http://schemas.openxmlformats.org/officeDocument/2006/relationships/hyperlink" Target="https://en.wikipedia.org/wiki/Marathon_County,_Wisconsin" TargetMode="External"/><Relationship Id="rId6174" Type="http://schemas.openxmlformats.org/officeDocument/2006/relationships/hyperlink" Target="https://en.wikipedia.org/wiki/Wisconsin" TargetMode="External"/><Relationship Id="rId6179" Type="http://schemas.openxmlformats.org/officeDocument/2006/relationships/hyperlink" Target="https://en.wikipedia.org/wiki/Menominee_County,_Wisconsin" TargetMode="External"/><Relationship Id="rId6177" Type="http://schemas.openxmlformats.org/officeDocument/2006/relationships/hyperlink" Target="https://en.wikipedia.org/wiki/Marquette_County,_Wisconsin" TargetMode="External"/><Relationship Id="rId6178" Type="http://schemas.openxmlformats.org/officeDocument/2006/relationships/hyperlink" Target="https://en.wikipedia.org/wiki/Wisconsin" TargetMode="External"/><Relationship Id="rId3931" Type="http://schemas.openxmlformats.org/officeDocument/2006/relationships/hyperlink" Target="https://en.wikipedia.org/wiki/Pitt_County,_North_Carolina" TargetMode="External"/><Relationship Id="rId2600" Type="http://schemas.openxmlformats.org/officeDocument/2006/relationships/hyperlink" Target="https://en.wikipedia.org/wiki/Michigan" TargetMode="External"/><Relationship Id="rId3930" Type="http://schemas.openxmlformats.org/officeDocument/2006/relationships/hyperlink" Target="https://en.wikipedia.org/wiki/North_Carolina" TargetMode="External"/><Relationship Id="rId2601" Type="http://schemas.openxmlformats.org/officeDocument/2006/relationships/hyperlink" Target="https://en.wikipedia.org/wiki/Oscoda_County,_Michigan" TargetMode="External"/><Relationship Id="rId3933" Type="http://schemas.openxmlformats.org/officeDocument/2006/relationships/hyperlink" Target="https://en.wikipedia.org/wiki/Polk_County,_North_Carolina" TargetMode="External"/><Relationship Id="rId2602" Type="http://schemas.openxmlformats.org/officeDocument/2006/relationships/hyperlink" Target="https://en.wikipedia.org/wiki/Michigan" TargetMode="External"/><Relationship Id="rId3932" Type="http://schemas.openxmlformats.org/officeDocument/2006/relationships/hyperlink" Target="https://en.wikipedia.org/wiki/North_Carolina" TargetMode="External"/><Relationship Id="rId2603" Type="http://schemas.openxmlformats.org/officeDocument/2006/relationships/hyperlink" Target="https://en.wikipedia.org/wiki/Otsego_County,_Michigan" TargetMode="External"/><Relationship Id="rId3935" Type="http://schemas.openxmlformats.org/officeDocument/2006/relationships/hyperlink" Target="https://en.wikipedia.org/wiki/Randolph_County,_North_Carolina" TargetMode="External"/><Relationship Id="rId2604" Type="http://schemas.openxmlformats.org/officeDocument/2006/relationships/hyperlink" Target="https://en.wikipedia.org/wiki/Michigan" TargetMode="External"/><Relationship Id="rId3934" Type="http://schemas.openxmlformats.org/officeDocument/2006/relationships/hyperlink" Target="https://en.wikipedia.org/wiki/North_Carolina" TargetMode="External"/><Relationship Id="rId2605" Type="http://schemas.openxmlformats.org/officeDocument/2006/relationships/hyperlink" Target="https://en.wikipedia.org/wiki/Ottawa_County,_Michigan" TargetMode="External"/><Relationship Id="rId3937" Type="http://schemas.openxmlformats.org/officeDocument/2006/relationships/hyperlink" Target="https://en.wikipedia.org/wiki/Richmond_County,_North_Carolina" TargetMode="External"/><Relationship Id="rId2606" Type="http://schemas.openxmlformats.org/officeDocument/2006/relationships/hyperlink" Target="https://en.wikipedia.org/wiki/Michigan" TargetMode="External"/><Relationship Id="rId3936" Type="http://schemas.openxmlformats.org/officeDocument/2006/relationships/hyperlink" Target="https://en.wikipedia.org/wiki/North_Carolina" TargetMode="External"/><Relationship Id="rId808" Type="http://schemas.openxmlformats.org/officeDocument/2006/relationships/hyperlink" Target="https://en.wikipedia.org/wiki/Georgia_(U.S._state)" TargetMode="External"/><Relationship Id="rId2607" Type="http://schemas.openxmlformats.org/officeDocument/2006/relationships/hyperlink" Target="https://en.wikipedia.org/wiki/Presque_Isle_County,_Michigan" TargetMode="External"/><Relationship Id="rId3939" Type="http://schemas.openxmlformats.org/officeDocument/2006/relationships/hyperlink" Target="https://en.wikipedia.org/wiki/Robeson_County,_North_Carolina" TargetMode="External"/><Relationship Id="rId807" Type="http://schemas.openxmlformats.org/officeDocument/2006/relationships/hyperlink" Target="https://en.wikipedia.org/wiki/Bryan_County,_Georgia" TargetMode="External"/><Relationship Id="rId2608" Type="http://schemas.openxmlformats.org/officeDocument/2006/relationships/hyperlink" Target="https://en.wikipedia.org/wiki/Michigan" TargetMode="External"/><Relationship Id="rId3938" Type="http://schemas.openxmlformats.org/officeDocument/2006/relationships/hyperlink" Target="https://en.wikipedia.org/wiki/North_Carolina" TargetMode="External"/><Relationship Id="rId806" Type="http://schemas.openxmlformats.org/officeDocument/2006/relationships/hyperlink" Target="https://en.wikipedia.org/wiki/Georgia_(U.S._state)" TargetMode="External"/><Relationship Id="rId2609" Type="http://schemas.openxmlformats.org/officeDocument/2006/relationships/hyperlink" Target="https://en.wikipedia.org/wiki/Roscommon_County,_Michigan" TargetMode="External"/><Relationship Id="rId805" Type="http://schemas.openxmlformats.org/officeDocument/2006/relationships/hyperlink" Target="https://en.wikipedia.org/wiki/Brooks_County,_Georgia" TargetMode="External"/><Relationship Id="rId809" Type="http://schemas.openxmlformats.org/officeDocument/2006/relationships/hyperlink" Target="https://en.wikipedia.org/wiki/Bulloch_County,_Georgia" TargetMode="External"/><Relationship Id="rId800" Type="http://schemas.openxmlformats.org/officeDocument/2006/relationships/hyperlink" Target="https://en.wikipedia.org/wiki/Georgia_(U.S._state)" TargetMode="External"/><Relationship Id="rId804" Type="http://schemas.openxmlformats.org/officeDocument/2006/relationships/hyperlink" Target="https://en.wikipedia.org/wiki/Georgia_(U.S._state)" TargetMode="External"/><Relationship Id="rId803" Type="http://schemas.openxmlformats.org/officeDocument/2006/relationships/hyperlink" Target="https://en.wikipedia.org/wiki/Brantley_County,_Georgia" TargetMode="External"/><Relationship Id="rId802" Type="http://schemas.openxmlformats.org/officeDocument/2006/relationships/hyperlink" Target="https://en.wikipedia.org/wiki/Georgia_(U.S._state)" TargetMode="External"/><Relationship Id="rId801" Type="http://schemas.openxmlformats.org/officeDocument/2006/relationships/hyperlink" Target="https://en.wikipedia.org/wiki/Bleckley_County,_Georgia" TargetMode="External"/><Relationship Id="rId3920" Type="http://schemas.openxmlformats.org/officeDocument/2006/relationships/hyperlink" Target="https://en.wikipedia.org/wiki/North_Carolina" TargetMode="External"/><Relationship Id="rId3922" Type="http://schemas.openxmlformats.org/officeDocument/2006/relationships/hyperlink" Target="https://en.wikipedia.org/wiki/North_Carolina" TargetMode="External"/><Relationship Id="rId3921" Type="http://schemas.openxmlformats.org/officeDocument/2006/relationships/hyperlink" Target="https://en.wikipedia.org/wiki/Pamlico_County,_North_Carolina" TargetMode="External"/><Relationship Id="rId3924" Type="http://schemas.openxmlformats.org/officeDocument/2006/relationships/hyperlink" Target="https://en.wikipedia.org/wiki/North_Carolina" TargetMode="External"/><Relationship Id="rId3923" Type="http://schemas.openxmlformats.org/officeDocument/2006/relationships/hyperlink" Target="https://en.wikipedia.org/wiki/Pasquotank_County,_North_Carolina" TargetMode="External"/><Relationship Id="rId3926" Type="http://schemas.openxmlformats.org/officeDocument/2006/relationships/hyperlink" Target="https://en.wikipedia.org/wiki/North_Carolina" TargetMode="External"/><Relationship Id="rId3925" Type="http://schemas.openxmlformats.org/officeDocument/2006/relationships/hyperlink" Target="https://en.wikipedia.org/wiki/Pender_County,_North_Carolina" TargetMode="External"/><Relationship Id="rId3928" Type="http://schemas.openxmlformats.org/officeDocument/2006/relationships/hyperlink" Target="https://en.wikipedia.org/wiki/North_Carolina" TargetMode="External"/><Relationship Id="rId3927" Type="http://schemas.openxmlformats.org/officeDocument/2006/relationships/hyperlink" Target="https://en.wikipedia.org/wiki/Perquimans_County,_North_Carolina" TargetMode="External"/><Relationship Id="rId3929" Type="http://schemas.openxmlformats.org/officeDocument/2006/relationships/hyperlink" Target="https://en.wikipedia.org/wiki/Person_County,_North_Carolina" TargetMode="External"/><Relationship Id="rId6193" Type="http://schemas.openxmlformats.org/officeDocument/2006/relationships/hyperlink" Target="https://en.wikipedia.org/wiki/Pepin_County,_Wisconsin" TargetMode="External"/><Relationship Id="rId6194" Type="http://schemas.openxmlformats.org/officeDocument/2006/relationships/hyperlink" Target="https://en.wikipedia.org/wiki/Wisconsin" TargetMode="External"/><Relationship Id="rId6191" Type="http://schemas.openxmlformats.org/officeDocument/2006/relationships/hyperlink" Target="https://en.wikipedia.org/wiki/Ozaukee_County,_Wisconsin" TargetMode="External"/><Relationship Id="rId6192" Type="http://schemas.openxmlformats.org/officeDocument/2006/relationships/hyperlink" Target="https://en.wikipedia.org/wiki/Wisconsin" TargetMode="External"/><Relationship Id="rId6197" Type="http://schemas.openxmlformats.org/officeDocument/2006/relationships/hyperlink" Target="https://en.wikipedia.org/wiki/Polk_County,_Wisconsin" TargetMode="External"/><Relationship Id="rId6198" Type="http://schemas.openxmlformats.org/officeDocument/2006/relationships/hyperlink" Target="https://en.wikipedia.org/wiki/Wisconsin" TargetMode="External"/><Relationship Id="rId6195" Type="http://schemas.openxmlformats.org/officeDocument/2006/relationships/hyperlink" Target="https://en.wikipedia.org/wiki/Pierce_County,_Wisconsin" TargetMode="External"/><Relationship Id="rId6196" Type="http://schemas.openxmlformats.org/officeDocument/2006/relationships/hyperlink" Target="https://en.wikipedia.org/wiki/Wisconsin" TargetMode="External"/><Relationship Id="rId6199" Type="http://schemas.openxmlformats.org/officeDocument/2006/relationships/hyperlink" Target="https://en.wikipedia.org/wiki/Portage_County,_Wisconsin" TargetMode="External"/><Relationship Id="rId6142" Type="http://schemas.openxmlformats.org/officeDocument/2006/relationships/hyperlink" Target="https://en.wikipedia.org/wiki/Wisconsin" TargetMode="External"/><Relationship Id="rId6143" Type="http://schemas.openxmlformats.org/officeDocument/2006/relationships/hyperlink" Target="https://en.wikipedia.org/wiki/Grant_County,_Wisconsin" TargetMode="External"/><Relationship Id="rId6140" Type="http://schemas.openxmlformats.org/officeDocument/2006/relationships/hyperlink" Target="https://en.wikipedia.org/wiki/Wisconsin" TargetMode="External"/><Relationship Id="rId6141" Type="http://schemas.openxmlformats.org/officeDocument/2006/relationships/hyperlink" Target="https://en.wikipedia.org/wiki/Forest_County,_Wisconsin" TargetMode="External"/><Relationship Id="rId6146" Type="http://schemas.openxmlformats.org/officeDocument/2006/relationships/hyperlink" Target="https://en.wikipedia.org/wiki/Wisconsin" TargetMode="External"/><Relationship Id="rId6147" Type="http://schemas.openxmlformats.org/officeDocument/2006/relationships/hyperlink" Target="https://en.wikipedia.org/wiki/Green_Lake_County,_Wisconsin" TargetMode="External"/><Relationship Id="rId6144" Type="http://schemas.openxmlformats.org/officeDocument/2006/relationships/hyperlink" Target="https://en.wikipedia.org/wiki/Wisconsin" TargetMode="External"/><Relationship Id="rId6145" Type="http://schemas.openxmlformats.org/officeDocument/2006/relationships/hyperlink" Target="https://en.wikipedia.org/wiki/Green_County,_Wisconsin" TargetMode="External"/><Relationship Id="rId6148" Type="http://schemas.openxmlformats.org/officeDocument/2006/relationships/hyperlink" Target="https://en.wikipedia.org/wiki/Wisconsin" TargetMode="External"/><Relationship Id="rId6149" Type="http://schemas.openxmlformats.org/officeDocument/2006/relationships/hyperlink" Target="https://en.wikipedia.org/wiki/Iowa_County,_Wisconsin" TargetMode="External"/><Relationship Id="rId6131" Type="http://schemas.openxmlformats.org/officeDocument/2006/relationships/hyperlink" Target="https://en.wikipedia.org/wiki/Douglas_County,_Wisconsin" TargetMode="External"/><Relationship Id="rId6132" Type="http://schemas.openxmlformats.org/officeDocument/2006/relationships/hyperlink" Target="https://en.wikipedia.org/wiki/Wisconsin" TargetMode="External"/><Relationship Id="rId6130" Type="http://schemas.openxmlformats.org/officeDocument/2006/relationships/hyperlink" Target="https://en.wikipedia.org/wiki/Wisconsin" TargetMode="External"/><Relationship Id="rId6135" Type="http://schemas.openxmlformats.org/officeDocument/2006/relationships/hyperlink" Target="https://en.wikipedia.org/wiki/Eau_Claire_County,_Wisconsin" TargetMode="External"/><Relationship Id="rId6136" Type="http://schemas.openxmlformats.org/officeDocument/2006/relationships/hyperlink" Target="https://en.wikipedia.org/wiki/Wisconsin" TargetMode="External"/><Relationship Id="rId6133" Type="http://schemas.openxmlformats.org/officeDocument/2006/relationships/hyperlink" Target="https://en.wikipedia.org/wiki/Dunn_County,_Wisconsin" TargetMode="External"/><Relationship Id="rId6134" Type="http://schemas.openxmlformats.org/officeDocument/2006/relationships/hyperlink" Target="https://en.wikipedia.org/wiki/Wisconsin" TargetMode="External"/><Relationship Id="rId6139" Type="http://schemas.openxmlformats.org/officeDocument/2006/relationships/hyperlink" Target="https://en.wikipedia.org/wiki/Fond_du_Lac_County,_Wisconsin" TargetMode="External"/><Relationship Id="rId6137" Type="http://schemas.openxmlformats.org/officeDocument/2006/relationships/hyperlink" Target="https://en.wikipedia.org/wiki/Florence_County,_Wisconsin" TargetMode="External"/><Relationship Id="rId6138" Type="http://schemas.openxmlformats.org/officeDocument/2006/relationships/hyperlink" Target="https://en.wikipedia.org/wiki/Wisconsin" TargetMode="External"/><Relationship Id="rId6160" Type="http://schemas.openxmlformats.org/officeDocument/2006/relationships/hyperlink" Target="https://en.wikipedia.org/wiki/Wisconsin" TargetMode="External"/><Relationship Id="rId6161" Type="http://schemas.openxmlformats.org/officeDocument/2006/relationships/hyperlink" Target="https://en.wikipedia.org/wiki/Kewaunee_County,_Wisconsin" TargetMode="External"/><Relationship Id="rId6164" Type="http://schemas.openxmlformats.org/officeDocument/2006/relationships/hyperlink" Target="https://en.wikipedia.org/wiki/Wisconsin" TargetMode="External"/><Relationship Id="rId6165" Type="http://schemas.openxmlformats.org/officeDocument/2006/relationships/hyperlink" Target="https://en.wikipedia.org/wiki/Lafayette_County,_Wisconsin" TargetMode="External"/><Relationship Id="rId6162" Type="http://schemas.openxmlformats.org/officeDocument/2006/relationships/hyperlink" Target="https://en.wikipedia.org/wiki/Wisconsin" TargetMode="External"/><Relationship Id="rId6163" Type="http://schemas.openxmlformats.org/officeDocument/2006/relationships/hyperlink" Target="https://en.wikipedia.org/wiki/La_Crosse_County,_Wisconsin" TargetMode="External"/><Relationship Id="rId6168" Type="http://schemas.openxmlformats.org/officeDocument/2006/relationships/hyperlink" Target="https://en.wikipedia.org/wiki/Wisconsin" TargetMode="External"/><Relationship Id="rId6169" Type="http://schemas.openxmlformats.org/officeDocument/2006/relationships/hyperlink" Target="https://en.wikipedia.org/wiki/Lincoln_County,_Wisconsin" TargetMode="External"/><Relationship Id="rId6166" Type="http://schemas.openxmlformats.org/officeDocument/2006/relationships/hyperlink" Target="https://en.wikipedia.org/wiki/Wisconsin" TargetMode="External"/><Relationship Id="rId6167" Type="http://schemas.openxmlformats.org/officeDocument/2006/relationships/hyperlink" Target="https://en.wikipedia.org/wiki/Langlade_County,_Wisconsin" TargetMode="External"/><Relationship Id="rId6150" Type="http://schemas.openxmlformats.org/officeDocument/2006/relationships/hyperlink" Target="https://en.wikipedia.org/wiki/Wisconsin" TargetMode="External"/><Relationship Id="rId6153" Type="http://schemas.openxmlformats.org/officeDocument/2006/relationships/hyperlink" Target="https://en.wikipedia.org/wiki/Jackson_County,_Wisconsin" TargetMode="External"/><Relationship Id="rId6154" Type="http://schemas.openxmlformats.org/officeDocument/2006/relationships/hyperlink" Target="https://en.wikipedia.org/wiki/Wisconsin" TargetMode="External"/><Relationship Id="rId6151" Type="http://schemas.openxmlformats.org/officeDocument/2006/relationships/hyperlink" Target="https://en.wikipedia.org/wiki/Iron_County,_Wisconsin" TargetMode="External"/><Relationship Id="rId6152" Type="http://schemas.openxmlformats.org/officeDocument/2006/relationships/hyperlink" Target="https://en.wikipedia.org/wiki/Wisconsin" TargetMode="External"/><Relationship Id="rId6157" Type="http://schemas.openxmlformats.org/officeDocument/2006/relationships/hyperlink" Target="https://en.wikipedia.org/wiki/Juneau_County,_Wisconsin" TargetMode="External"/><Relationship Id="rId6158" Type="http://schemas.openxmlformats.org/officeDocument/2006/relationships/hyperlink" Target="https://en.wikipedia.org/wiki/Wisconsin" TargetMode="External"/><Relationship Id="rId6155" Type="http://schemas.openxmlformats.org/officeDocument/2006/relationships/hyperlink" Target="https://en.wikipedia.org/wiki/Jefferson_County,_Wisconsin" TargetMode="External"/><Relationship Id="rId6156" Type="http://schemas.openxmlformats.org/officeDocument/2006/relationships/hyperlink" Target="https://en.wikipedia.org/wiki/Wisconsin" TargetMode="External"/><Relationship Id="rId6159" Type="http://schemas.openxmlformats.org/officeDocument/2006/relationships/hyperlink" Target="https://en.wikipedia.org/wiki/Kenosha_County,_Wisconsin" TargetMode="External"/><Relationship Id="rId1334" Type="http://schemas.openxmlformats.org/officeDocument/2006/relationships/hyperlink" Target="https://en.wikipedia.org/wiki/Illinois" TargetMode="External"/><Relationship Id="rId2665" Type="http://schemas.openxmlformats.org/officeDocument/2006/relationships/hyperlink" Target="https://en.wikipedia.org/wiki/Cottonwood_County,_Minnesota" TargetMode="External"/><Relationship Id="rId3997" Type="http://schemas.openxmlformats.org/officeDocument/2006/relationships/hyperlink" Target="https://en.wikipedia.org/wiki/Burke_County,_North_Dakota" TargetMode="External"/><Relationship Id="rId1335" Type="http://schemas.openxmlformats.org/officeDocument/2006/relationships/hyperlink" Target="https://en.wikipedia.org/wiki/Ogle_County,_Illinois" TargetMode="External"/><Relationship Id="rId2666" Type="http://schemas.openxmlformats.org/officeDocument/2006/relationships/hyperlink" Target="https://en.wikipedia.org/wiki/Minnesota" TargetMode="External"/><Relationship Id="rId3996" Type="http://schemas.openxmlformats.org/officeDocument/2006/relationships/hyperlink" Target="https://en.wikipedia.org/wiki/North_Dakota" TargetMode="External"/><Relationship Id="rId1336" Type="http://schemas.openxmlformats.org/officeDocument/2006/relationships/hyperlink" Target="https://en.wikipedia.org/wiki/Illinois" TargetMode="External"/><Relationship Id="rId2667" Type="http://schemas.openxmlformats.org/officeDocument/2006/relationships/hyperlink" Target="https://en.wikipedia.org/wiki/Crow_Wing_County,_Minnesota" TargetMode="External"/><Relationship Id="rId3999" Type="http://schemas.openxmlformats.org/officeDocument/2006/relationships/hyperlink" Target="https://en.wikipedia.org/wiki/Burleigh_County,_North_Dakota" TargetMode="External"/><Relationship Id="rId1337" Type="http://schemas.openxmlformats.org/officeDocument/2006/relationships/hyperlink" Target="https://en.wikipedia.org/wiki/Peoria_County,_Illinois" TargetMode="External"/><Relationship Id="rId2668" Type="http://schemas.openxmlformats.org/officeDocument/2006/relationships/hyperlink" Target="https://en.wikipedia.org/wiki/Minnesota" TargetMode="External"/><Relationship Id="rId3998" Type="http://schemas.openxmlformats.org/officeDocument/2006/relationships/hyperlink" Target="https://en.wikipedia.org/wiki/North_Dakota" TargetMode="External"/><Relationship Id="rId1338" Type="http://schemas.openxmlformats.org/officeDocument/2006/relationships/hyperlink" Target="https://en.wikipedia.org/wiki/Illinois" TargetMode="External"/><Relationship Id="rId2669" Type="http://schemas.openxmlformats.org/officeDocument/2006/relationships/hyperlink" Target="https://en.wikipedia.org/wiki/Dakota_County,_Minnesota" TargetMode="External"/><Relationship Id="rId1339" Type="http://schemas.openxmlformats.org/officeDocument/2006/relationships/hyperlink" Target="https://en.wikipedia.org/wiki/Perry_County,_Illinois" TargetMode="External"/><Relationship Id="rId745" Type="http://schemas.openxmlformats.org/officeDocument/2006/relationships/hyperlink" Target="https://en.wikipedia.org/wiki/Pasco_County,_Florida" TargetMode="External"/><Relationship Id="rId744" Type="http://schemas.openxmlformats.org/officeDocument/2006/relationships/hyperlink" Target="https://en.wikipedia.org/wiki/Florida" TargetMode="External"/><Relationship Id="rId743" Type="http://schemas.openxmlformats.org/officeDocument/2006/relationships/hyperlink" Target="https://en.wikipedia.org/wiki/Palm_Beach_County,_Florida" TargetMode="External"/><Relationship Id="rId742" Type="http://schemas.openxmlformats.org/officeDocument/2006/relationships/hyperlink" Target="https://en.wikipedia.org/wiki/Florida" TargetMode="External"/><Relationship Id="rId749" Type="http://schemas.openxmlformats.org/officeDocument/2006/relationships/hyperlink" Target="https://en.wikipedia.org/wiki/Polk_County,_Florida" TargetMode="External"/><Relationship Id="rId748" Type="http://schemas.openxmlformats.org/officeDocument/2006/relationships/hyperlink" Target="https://en.wikipedia.org/wiki/Florida" TargetMode="External"/><Relationship Id="rId747" Type="http://schemas.openxmlformats.org/officeDocument/2006/relationships/hyperlink" Target="https://en.wikipedia.org/wiki/Pinellas_County,_Florida" TargetMode="External"/><Relationship Id="rId746" Type="http://schemas.openxmlformats.org/officeDocument/2006/relationships/hyperlink" Target="https://en.wikipedia.org/wiki/Florida" TargetMode="External"/><Relationship Id="rId3991" Type="http://schemas.openxmlformats.org/officeDocument/2006/relationships/hyperlink" Target="https://en.wikipedia.org/wiki/Billings_County,_North_Dakota" TargetMode="External"/><Relationship Id="rId2660" Type="http://schemas.openxmlformats.org/officeDocument/2006/relationships/hyperlink" Target="https://en.wikipedia.org/wiki/Minnesota" TargetMode="External"/><Relationship Id="rId3990" Type="http://schemas.openxmlformats.org/officeDocument/2006/relationships/hyperlink" Target="https://en.wikipedia.org/wiki/North_Dakota" TargetMode="External"/><Relationship Id="rId741" Type="http://schemas.openxmlformats.org/officeDocument/2006/relationships/hyperlink" Target="https://en.wikipedia.org/wiki/Osceola_County,_Florida" TargetMode="External"/><Relationship Id="rId1330" Type="http://schemas.openxmlformats.org/officeDocument/2006/relationships/hyperlink" Target="https://en.wikipedia.org/wiki/Illinois" TargetMode="External"/><Relationship Id="rId2661" Type="http://schemas.openxmlformats.org/officeDocument/2006/relationships/hyperlink" Target="https://en.wikipedia.org/wiki/Clearwater_County,_Minnesota" TargetMode="External"/><Relationship Id="rId3993" Type="http://schemas.openxmlformats.org/officeDocument/2006/relationships/hyperlink" Target="https://en.wikipedia.org/wiki/Bottineau_County,_North_Dakota" TargetMode="External"/><Relationship Id="rId740" Type="http://schemas.openxmlformats.org/officeDocument/2006/relationships/hyperlink" Target="https://en.wikipedia.org/wiki/Florida" TargetMode="External"/><Relationship Id="rId1331" Type="http://schemas.openxmlformats.org/officeDocument/2006/relationships/hyperlink" Target="https://en.wikipedia.org/wiki/Morgan_County,_Illinois" TargetMode="External"/><Relationship Id="rId2662" Type="http://schemas.openxmlformats.org/officeDocument/2006/relationships/hyperlink" Target="https://en.wikipedia.org/wiki/Minnesota" TargetMode="External"/><Relationship Id="rId3992" Type="http://schemas.openxmlformats.org/officeDocument/2006/relationships/hyperlink" Target="https://en.wikipedia.org/wiki/North_Dakota" TargetMode="External"/><Relationship Id="rId1332" Type="http://schemas.openxmlformats.org/officeDocument/2006/relationships/hyperlink" Target="https://en.wikipedia.org/wiki/Illinois" TargetMode="External"/><Relationship Id="rId2663" Type="http://schemas.openxmlformats.org/officeDocument/2006/relationships/hyperlink" Target="https://en.wikipedia.org/wiki/Cook_County,_Minnesota" TargetMode="External"/><Relationship Id="rId3995" Type="http://schemas.openxmlformats.org/officeDocument/2006/relationships/hyperlink" Target="https://en.wikipedia.org/wiki/Bowman_County,_North_Dakota" TargetMode="External"/><Relationship Id="rId1333" Type="http://schemas.openxmlformats.org/officeDocument/2006/relationships/hyperlink" Target="https://en.wikipedia.org/wiki/Moultrie_County,_Illinois" TargetMode="External"/><Relationship Id="rId2664" Type="http://schemas.openxmlformats.org/officeDocument/2006/relationships/hyperlink" Target="https://en.wikipedia.org/wiki/Minnesota" TargetMode="External"/><Relationship Id="rId3994" Type="http://schemas.openxmlformats.org/officeDocument/2006/relationships/hyperlink" Target="https://en.wikipedia.org/wiki/North_Dakota" TargetMode="External"/><Relationship Id="rId1323" Type="http://schemas.openxmlformats.org/officeDocument/2006/relationships/hyperlink" Target="https://en.wikipedia.org/wiki/Menard_County,_Illinois" TargetMode="External"/><Relationship Id="rId2654" Type="http://schemas.openxmlformats.org/officeDocument/2006/relationships/hyperlink" Target="https://en.wikipedia.org/wiki/Minnesota" TargetMode="External"/><Relationship Id="rId3986" Type="http://schemas.openxmlformats.org/officeDocument/2006/relationships/hyperlink" Target="https://en.wikipedia.org/wiki/North_Dakota" TargetMode="External"/><Relationship Id="rId1324" Type="http://schemas.openxmlformats.org/officeDocument/2006/relationships/hyperlink" Target="https://en.wikipedia.org/wiki/Illinois" TargetMode="External"/><Relationship Id="rId2655" Type="http://schemas.openxmlformats.org/officeDocument/2006/relationships/hyperlink" Target="https://en.wikipedia.org/wiki/Chippewa_County,_Minnesota" TargetMode="External"/><Relationship Id="rId3985" Type="http://schemas.openxmlformats.org/officeDocument/2006/relationships/hyperlink" Target="https://en.wikipedia.org/wiki/Adams_County,_North_Dakota" TargetMode="External"/><Relationship Id="rId1325" Type="http://schemas.openxmlformats.org/officeDocument/2006/relationships/hyperlink" Target="https://en.wikipedia.org/wiki/Mercer_County,_Illinois" TargetMode="External"/><Relationship Id="rId2656" Type="http://schemas.openxmlformats.org/officeDocument/2006/relationships/hyperlink" Target="https://en.wikipedia.org/wiki/Minnesota" TargetMode="External"/><Relationship Id="rId3988" Type="http://schemas.openxmlformats.org/officeDocument/2006/relationships/hyperlink" Target="https://en.wikipedia.org/wiki/North_Dakota" TargetMode="External"/><Relationship Id="rId1326" Type="http://schemas.openxmlformats.org/officeDocument/2006/relationships/hyperlink" Target="https://en.wikipedia.org/wiki/Illinois" TargetMode="External"/><Relationship Id="rId2657" Type="http://schemas.openxmlformats.org/officeDocument/2006/relationships/hyperlink" Target="https://en.wikipedia.org/wiki/Chisago_County,_Minnesota" TargetMode="External"/><Relationship Id="rId3987" Type="http://schemas.openxmlformats.org/officeDocument/2006/relationships/hyperlink" Target="https://en.wikipedia.org/wiki/Barnes_County,_North_Dakota" TargetMode="External"/><Relationship Id="rId1327" Type="http://schemas.openxmlformats.org/officeDocument/2006/relationships/hyperlink" Target="https://en.wikipedia.org/wiki/Monroe_County,_Illinois" TargetMode="External"/><Relationship Id="rId2658" Type="http://schemas.openxmlformats.org/officeDocument/2006/relationships/hyperlink" Target="https://en.wikipedia.org/wiki/Minnesota" TargetMode="External"/><Relationship Id="rId1328" Type="http://schemas.openxmlformats.org/officeDocument/2006/relationships/hyperlink" Target="https://en.wikipedia.org/wiki/Illinois" TargetMode="External"/><Relationship Id="rId2659" Type="http://schemas.openxmlformats.org/officeDocument/2006/relationships/hyperlink" Target="https://en.wikipedia.org/wiki/Clay_County,_Minnesota" TargetMode="External"/><Relationship Id="rId3989" Type="http://schemas.openxmlformats.org/officeDocument/2006/relationships/hyperlink" Target="https://en.wikipedia.org/wiki/Benson_County,_North_Dakota" TargetMode="External"/><Relationship Id="rId1329" Type="http://schemas.openxmlformats.org/officeDocument/2006/relationships/hyperlink" Target="https://en.wikipedia.org/wiki/Montgomery_County,_Illinois" TargetMode="External"/><Relationship Id="rId739" Type="http://schemas.openxmlformats.org/officeDocument/2006/relationships/hyperlink" Target="https://en.wikipedia.org/wiki/Orange_County,_Florida" TargetMode="External"/><Relationship Id="rId734" Type="http://schemas.openxmlformats.org/officeDocument/2006/relationships/hyperlink" Target="https://en.wikipedia.org/wiki/Florida" TargetMode="External"/><Relationship Id="rId733" Type="http://schemas.openxmlformats.org/officeDocument/2006/relationships/hyperlink" Target="https://en.wikipedia.org/wiki/Nassau_County,_Florida" TargetMode="External"/><Relationship Id="rId732" Type="http://schemas.openxmlformats.org/officeDocument/2006/relationships/hyperlink" Target="https://en.wikipedia.org/wiki/Florida" TargetMode="External"/><Relationship Id="rId731" Type="http://schemas.openxmlformats.org/officeDocument/2006/relationships/hyperlink" Target="https://en.wikipedia.org/wiki/Monroe_County,_Florida" TargetMode="External"/><Relationship Id="rId738" Type="http://schemas.openxmlformats.org/officeDocument/2006/relationships/hyperlink" Target="https://en.wikipedia.org/wiki/Florida" TargetMode="External"/><Relationship Id="rId737" Type="http://schemas.openxmlformats.org/officeDocument/2006/relationships/hyperlink" Target="https://en.wikipedia.org/wiki/Okeechobee_County,_Florida" TargetMode="External"/><Relationship Id="rId736" Type="http://schemas.openxmlformats.org/officeDocument/2006/relationships/hyperlink" Target="https://en.wikipedia.org/wiki/Florida" TargetMode="External"/><Relationship Id="rId735" Type="http://schemas.openxmlformats.org/officeDocument/2006/relationships/hyperlink" Target="https://en.wikipedia.org/wiki/Okaloosa_County,_Florida" TargetMode="External"/><Relationship Id="rId3980" Type="http://schemas.openxmlformats.org/officeDocument/2006/relationships/hyperlink" Target="https://en.wikipedia.org/wiki/North_Carolina" TargetMode="External"/><Relationship Id="rId730" Type="http://schemas.openxmlformats.org/officeDocument/2006/relationships/hyperlink" Target="https://en.wikipedia.org/wiki/Florida" TargetMode="External"/><Relationship Id="rId2650" Type="http://schemas.openxmlformats.org/officeDocument/2006/relationships/hyperlink" Target="https://en.wikipedia.org/wiki/Minnesota" TargetMode="External"/><Relationship Id="rId3982" Type="http://schemas.openxmlformats.org/officeDocument/2006/relationships/hyperlink" Target="https://en.wikipedia.org/wiki/North_Carolina" TargetMode="External"/><Relationship Id="rId1320" Type="http://schemas.openxmlformats.org/officeDocument/2006/relationships/hyperlink" Target="https://en.wikipedia.org/wiki/Illinois" TargetMode="External"/><Relationship Id="rId2651" Type="http://schemas.openxmlformats.org/officeDocument/2006/relationships/hyperlink" Target="https://en.wikipedia.org/wiki/Carver_County,_Minnesota" TargetMode="External"/><Relationship Id="rId3981" Type="http://schemas.openxmlformats.org/officeDocument/2006/relationships/hyperlink" Target="https://en.wikipedia.org/wiki/Yadkin_County,_North_Carolina" TargetMode="External"/><Relationship Id="rId1321" Type="http://schemas.openxmlformats.org/officeDocument/2006/relationships/hyperlink" Target="https://en.wikipedia.org/wiki/Massac_County,_Illinois" TargetMode="External"/><Relationship Id="rId2652" Type="http://schemas.openxmlformats.org/officeDocument/2006/relationships/hyperlink" Target="https://en.wikipedia.org/wiki/Minnesota" TargetMode="External"/><Relationship Id="rId3984" Type="http://schemas.openxmlformats.org/officeDocument/2006/relationships/hyperlink" Target="https://en.wikipedia.org/wiki/North_Dakota" TargetMode="External"/><Relationship Id="rId1322" Type="http://schemas.openxmlformats.org/officeDocument/2006/relationships/hyperlink" Target="https://en.wikipedia.org/wiki/Illinois" TargetMode="External"/><Relationship Id="rId2653" Type="http://schemas.openxmlformats.org/officeDocument/2006/relationships/hyperlink" Target="https://en.wikipedia.org/wiki/Cass_County,_Minnesota" TargetMode="External"/><Relationship Id="rId3983" Type="http://schemas.openxmlformats.org/officeDocument/2006/relationships/hyperlink" Target="https://en.wikipedia.org/wiki/Yancey_County,_North_Carolina" TargetMode="External"/><Relationship Id="rId1356" Type="http://schemas.openxmlformats.org/officeDocument/2006/relationships/hyperlink" Target="https://en.wikipedia.org/wiki/Illinois" TargetMode="External"/><Relationship Id="rId2687" Type="http://schemas.openxmlformats.org/officeDocument/2006/relationships/hyperlink" Target="https://en.wikipedia.org/wiki/Houston_County,_Minnesota" TargetMode="External"/><Relationship Id="rId1357" Type="http://schemas.openxmlformats.org/officeDocument/2006/relationships/hyperlink" Target="https://en.wikipedia.org/wiki/St._Clair_County,_Illinois" TargetMode="External"/><Relationship Id="rId2688" Type="http://schemas.openxmlformats.org/officeDocument/2006/relationships/hyperlink" Target="https://en.wikipedia.org/wiki/Minnesota" TargetMode="External"/><Relationship Id="rId1358" Type="http://schemas.openxmlformats.org/officeDocument/2006/relationships/hyperlink" Target="https://en.wikipedia.org/wiki/Illinois" TargetMode="External"/><Relationship Id="rId2689" Type="http://schemas.openxmlformats.org/officeDocument/2006/relationships/hyperlink" Target="https://en.wikipedia.org/wiki/Hubbard_County,_Minnesota" TargetMode="External"/><Relationship Id="rId1359" Type="http://schemas.openxmlformats.org/officeDocument/2006/relationships/hyperlink" Target="https://en.wikipedia.org/wiki/Saline_County,_Illinois" TargetMode="External"/><Relationship Id="rId767" Type="http://schemas.openxmlformats.org/officeDocument/2006/relationships/hyperlink" Target="https://en.wikipedia.org/wiki/Taylor_County,_Florida" TargetMode="External"/><Relationship Id="rId766" Type="http://schemas.openxmlformats.org/officeDocument/2006/relationships/hyperlink" Target="https://en.wikipedia.org/wiki/Florida" TargetMode="External"/><Relationship Id="rId765" Type="http://schemas.openxmlformats.org/officeDocument/2006/relationships/hyperlink" Target="https://en.wikipedia.org/wiki/Suwannee_County,_Florida" TargetMode="External"/><Relationship Id="rId764" Type="http://schemas.openxmlformats.org/officeDocument/2006/relationships/hyperlink" Target="https://en.wikipedia.org/wiki/Florida" TargetMode="External"/><Relationship Id="rId769" Type="http://schemas.openxmlformats.org/officeDocument/2006/relationships/hyperlink" Target="https://en.wikipedia.org/wiki/Union_County,_Florida" TargetMode="External"/><Relationship Id="rId768" Type="http://schemas.openxmlformats.org/officeDocument/2006/relationships/hyperlink" Target="https://en.wikipedia.org/wiki/Florida" TargetMode="External"/><Relationship Id="rId2680" Type="http://schemas.openxmlformats.org/officeDocument/2006/relationships/hyperlink" Target="https://en.wikipedia.org/wiki/Minnesota" TargetMode="External"/><Relationship Id="rId1350" Type="http://schemas.openxmlformats.org/officeDocument/2006/relationships/hyperlink" Target="https://en.wikipedia.org/wiki/Illinois" TargetMode="External"/><Relationship Id="rId2681" Type="http://schemas.openxmlformats.org/officeDocument/2006/relationships/hyperlink" Target="https://en.wikipedia.org/wiki/Goodhue_County,_Minnesota" TargetMode="External"/><Relationship Id="rId1351" Type="http://schemas.openxmlformats.org/officeDocument/2006/relationships/hyperlink" Target="https://en.wikipedia.org/wiki/Randolph_County,_Illinois" TargetMode="External"/><Relationship Id="rId2682" Type="http://schemas.openxmlformats.org/officeDocument/2006/relationships/hyperlink" Target="https://en.wikipedia.org/wiki/Minnesota" TargetMode="External"/><Relationship Id="rId763" Type="http://schemas.openxmlformats.org/officeDocument/2006/relationships/hyperlink" Target="https://en.wikipedia.org/wiki/Sumter_County,_Florida" TargetMode="External"/><Relationship Id="rId1352" Type="http://schemas.openxmlformats.org/officeDocument/2006/relationships/hyperlink" Target="https://en.wikipedia.org/wiki/Illinois" TargetMode="External"/><Relationship Id="rId2683" Type="http://schemas.openxmlformats.org/officeDocument/2006/relationships/hyperlink" Target="https://en.wikipedia.org/wiki/Grant_County,_Minnesota" TargetMode="External"/><Relationship Id="rId762" Type="http://schemas.openxmlformats.org/officeDocument/2006/relationships/hyperlink" Target="https://en.wikipedia.org/wiki/Florida" TargetMode="External"/><Relationship Id="rId1353" Type="http://schemas.openxmlformats.org/officeDocument/2006/relationships/hyperlink" Target="https://en.wikipedia.org/wiki/Richland_County,_Illinois" TargetMode="External"/><Relationship Id="rId2684" Type="http://schemas.openxmlformats.org/officeDocument/2006/relationships/hyperlink" Target="https://en.wikipedia.org/wiki/Minnesota" TargetMode="External"/><Relationship Id="rId761" Type="http://schemas.openxmlformats.org/officeDocument/2006/relationships/hyperlink" Target="https://en.wikipedia.org/wiki/Seminole_County,_Florida" TargetMode="External"/><Relationship Id="rId1354" Type="http://schemas.openxmlformats.org/officeDocument/2006/relationships/hyperlink" Target="https://en.wikipedia.org/wiki/Illinois" TargetMode="External"/><Relationship Id="rId2685" Type="http://schemas.openxmlformats.org/officeDocument/2006/relationships/hyperlink" Target="https://en.wikipedia.org/wiki/Hennepin_County,_Minnesota" TargetMode="External"/><Relationship Id="rId760" Type="http://schemas.openxmlformats.org/officeDocument/2006/relationships/hyperlink" Target="https://en.wikipedia.org/wiki/Florida" TargetMode="External"/><Relationship Id="rId1355" Type="http://schemas.openxmlformats.org/officeDocument/2006/relationships/hyperlink" Target="https://en.wikipedia.org/wiki/Rock_Island_County,_Illinois" TargetMode="External"/><Relationship Id="rId2686" Type="http://schemas.openxmlformats.org/officeDocument/2006/relationships/hyperlink" Target="https://en.wikipedia.org/wiki/Minnesota" TargetMode="External"/><Relationship Id="rId1345" Type="http://schemas.openxmlformats.org/officeDocument/2006/relationships/hyperlink" Target="https://en.wikipedia.org/wiki/Pope_County,_Illinois" TargetMode="External"/><Relationship Id="rId2676" Type="http://schemas.openxmlformats.org/officeDocument/2006/relationships/hyperlink" Target="https://en.wikipedia.org/wiki/Minnesota" TargetMode="External"/><Relationship Id="rId1346" Type="http://schemas.openxmlformats.org/officeDocument/2006/relationships/hyperlink" Target="https://en.wikipedia.org/wiki/Illinois" TargetMode="External"/><Relationship Id="rId2677" Type="http://schemas.openxmlformats.org/officeDocument/2006/relationships/hyperlink" Target="https://en.wikipedia.org/wiki/Fillmore_County,_Minnesota" TargetMode="External"/><Relationship Id="rId1347" Type="http://schemas.openxmlformats.org/officeDocument/2006/relationships/hyperlink" Target="https://en.wikipedia.org/wiki/Pulaski_County,_Illinois" TargetMode="External"/><Relationship Id="rId2678" Type="http://schemas.openxmlformats.org/officeDocument/2006/relationships/hyperlink" Target="https://en.wikipedia.org/wiki/Minnesota" TargetMode="External"/><Relationship Id="rId1348" Type="http://schemas.openxmlformats.org/officeDocument/2006/relationships/hyperlink" Target="https://en.wikipedia.org/wiki/Illinois" TargetMode="External"/><Relationship Id="rId2679" Type="http://schemas.openxmlformats.org/officeDocument/2006/relationships/hyperlink" Target="https://en.wikipedia.org/wiki/Freeborn_County,_Minnesota" TargetMode="External"/><Relationship Id="rId1349" Type="http://schemas.openxmlformats.org/officeDocument/2006/relationships/hyperlink" Target="https://en.wikipedia.org/wiki/Putnam_County,_Illinois" TargetMode="External"/><Relationship Id="rId756" Type="http://schemas.openxmlformats.org/officeDocument/2006/relationships/hyperlink" Target="https://en.wikipedia.org/wiki/Florida" TargetMode="External"/><Relationship Id="rId755" Type="http://schemas.openxmlformats.org/officeDocument/2006/relationships/hyperlink" Target="https://en.wikipedia.org/wiki/St._Lucie_County,_Florida" TargetMode="External"/><Relationship Id="rId754" Type="http://schemas.openxmlformats.org/officeDocument/2006/relationships/hyperlink" Target="https://en.wikipedia.org/wiki/Florida" TargetMode="External"/><Relationship Id="rId753" Type="http://schemas.openxmlformats.org/officeDocument/2006/relationships/hyperlink" Target="https://en.wikipedia.org/wiki/St._Johns_County,_Florida" TargetMode="External"/><Relationship Id="rId759" Type="http://schemas.openxmlformats.org/officeDocument/2006/relationships/hyperlink" Target="https://en.wikipedia.org/wiki/Sarasota_County,_Florida" TargetMode="External"/><Relationship Id="rId758" Type="http://schemas.openxmlformats.org/officeDocument/2006/relationships/hyperlink" Target="https://en.wikipedia.org/wiki/Florida" TargetMode="External"/><Relationship Id="rId757" Type="http://schemas.openxmlformats.org/officeDocument/2006/relationships/hyperlink" Target="https://en.wikipedia.org/wiki/Santa_Rosa_County,_Florida" TargetMode="External"/><Relationship Id="rId2670" Type="http://schemas.openxmlformats.org/officeDocument/2006/relationships/hyperlink" Target="https://en.wikipedia.org/wiki/Minnesota" TargetMode="External"/><Relationship Id="rId1340" Type="http://schemas.openxmlformats.org/officeDocument/2006/relationships/hyperlink" Target="https://en.wikipedia.org/wiki/Illinois" TargetMode="External"/><Relationship Id="rId2671" Type="http://schemas.openxmlformats.org/officeDocument/2006/relationships/hyperlink" Target="https://en.wikipedia.org/wiki/Dodge_County,_Minnesota" TargetMode="External"/><Relationship Id="rId752" Type="http://schemas.openxmlformats.org/officeDocument/2006/relationships/hyperlink" Target="https://en.wikipedia.org/wiki/Florida" TargetMode="External"/><Relationship Id="rId1341" Type="http://schemas.openxmlformats.org/officeDocument/2006/relationships/hyperlink" Target="https://en.wikipedia.org/wiki/Piatt_County,_Illinois" TargetMode="External"/><Relationship Id="rId2672" Type="http://schemas.openxmlformats.org/officeDocument/2006/relationships/hyperlink" Target="https://en.wikipedia.org/wiki/Minnesota" TargetMode="External"/><Relationship Id="rId751" Type="http://schemas.openxmlformats.org/officeDocument/2006/relationships/hyperlink" Target="https://en.wikipedia.org/wiki/Putnam_County,_Florida" TargetMode="External"/><Relationship Id="rId1342" Type="http://schemas.openxmlformats.org/officeDocument/2006/relationships/hyperlink" Target="https://en.wikipedia.org/wiki/Illinois" TargetMode="External"/><Relationship Id="rId2673" Type="http://schemas.openxmlformats.org/officeDocument/2006/relationships/hyperlink" Target="https://en.wikipedia.org/wiki/Douglas_County,_Minnesota" TargetMode="External"/><Relationship Id="rId750" Type="http://schemas.openxmlformats.org/officeDocument/2006/relationships/hyperlink" Target="https://en.wikipedia.org/wiki/Florida" TargetMode="External"/><Relationship Id="rId1343" Type="http://schemas.openxmlformats.org/officeDocument/2006/relationships/hyperlink" Target="https://en.wikipedia.org/wiki/Pike_County,_Illinois" TargetMode="External"/><Relationship Id="rId2674" Type="http://schemas.openxmlformats.org/officeDocument/2006/relationships/hyperlink" Target="https://en.wikipedia.org/wiki/Minnesota" TargetMode="External"/><Relationship Id="rId1344" Type="http://schemas.openxmlformats.org/officeDocument/2006/relationships/hyperlink" Target="https://en.wikipedia.org/wiki/Illinois" TargetMode="External"/><Relationship Id="rId2675" Type="http://schemas.openxmlformats.org/officeDocument/2006/relationships/hyperlink" Target="https://en.wikipedia.org/wiki/Faribault_County,_Minnesota" TargetMode="External"/><Relationship Id="rId2621" Type="http://schemas.openxmlformats.org/officeDocument/2006/relationships/hyperlink" Target="https://en.wikipedia.org/wiki/Shiawassee_County,_Michigan" TargetMode="External"/><Relationship Id="rId3953" Type="http://schemas.openxmlformats.org/officeDocument/2006/relationships/hyperlink" Target="https://en.wikipedia.org/wiki/Stokes_County,_North_Carolina" TargetMode="External"/><Relationship Id="rId2622" Type="http://schemas.openxmlformats.org/officeDocument/2006/relationships/hyperlink" Target="https://en.wikipedia.org/wiki/Michigan" TargetMode="External"/><Relationship Id="rId3952" Type="http://schemas.openxmlformats.org/officeDocument/2006/relationships/hyperlink" Target="https://en.wikipedia.org/wiki/North_Carolina" TargetMode="External"/><Relationship Id="rId2623" Type="http://schemas.openxmlformats.org/officeDocument/2006/relationships/hyperlink" Target="https://en.wikipedia.org/wiki/Tuscola_County,_Michigan" TargetMode="External"/><Relationship Id="rId3955" Type="http://schemas.openxmlformats.org/officeDocument/2006/relationships/hyperlink" Target="https://en.wikipedia.org/wiki/Surry_County,_North_Carolina" TargetMode="External"/><Relationship Id="rId2624" Type="http://schemas.openxmlformats.org/officeDocument/2006/relationships/hyperlink" Target="https://en.wikipedia.org/wiki/Michigan" TargetMode="External"/><Relationship Id="rId3954" Type="http://schemas.openxmlformats.org/officeDocument/2006/relationships/hyperlink" Target="https://en.wikipedia.org/wiki/North_Carolina" TargetMode="External"/><Relationship Id="rId2625" Type="http://schemas.openxmlformats.org/officeDocument/2006/relationships/hyperlink" Target="https://en.wikipedia.org/wiki/Van_Buren_County,_Michigan" TargetMode="External"/><Relationship Id="rId3957" Type="http://schemas.openxmlformats.org/officeDocument/2006/relationships/hyperlink" Target="https://en.wikipedia.org/wiki/Swain_County,_North_Carolina" TargetMode="External"/><Relationship Id="rId2626" Type="http://schemas.openxmlformats.org/officeDocument/2006/relationships/hyperlink" Target="https://en.wikipedia.org/wiki/Michigan" TargetMode="External"/><Relationship Id="rId3956" Type="http://schemas.openxmlformats.org/officeDocument/2006/relationships/hyperlink" Target="https://en.wikipedia.org/wiki/North_Carolina" TargetMode="External"/><Relationship Id="rId2627" Type="http://schemas.openxmlformats.org/officeDocument/2006/relationships/hyperlink" Target="https://en.wikipedia.org/wiki/Washtenaw_County,_Michigan" TargetMode="External"/><Relationship Id="rId3959" Type="http://schemas.openxmlformats.org/officeDocument/2006/relationships/hyperlink" Target="https://en.wikipedia.org/wiki/Transylvania_County,_North_Carolina" TargetMode="External"/><Relationship Id="rId2628" Type="http://schemas.openxmlformats.org/officeDocument/2006/relationships/hyperlink" Target="https://en.wikipedia.org/wiki/Michigan" TargetMode="External"/><Relationship Id="rId3958" Type="http://schemas.openxmlformats.org/officeDocument/2006/relationships/hyperlink" Target="https://en.wikipedia.org/wiki/North_Carolina" TargetMode="External"/><Relationship Id="rId709" Type="http://schemas.openxmlformats.org/officeDocument/2006/relationships/hyperlink" Target="https://en.wikipedia.org/wiki/Lafayette_County,_Florida" TargetMode="External"/><Relationship Id="rId2629" Type="http://schemas.openxmlformats.org/officeDocument/2006/relationships/hyperlink" Target="https://en.wikipedia.org/wiki/Wayne_County,_Michigan" TargetMode="External"/><Relationship Id="rId708" Type="http://schemas.openxmlformats.org/officeDocument/2006/relationships/hyperlink" Target="https://en.wikipedia.org/wiki/Florida" TargetMode="External"/><Relationship Id="rId707" Type="http://schemas.openxmlformats.org/officeDocument/2006/relationships/hyperlink" Target="https://en.wikipedia.org/wiki/Jefferson_County,_Florida" TargetMode="External"/><Relationship Id="rId706" Type="http://schemas.openxmlformats.org/officeDocument/2006/relationships/hyperlink" Target="https://en.wikipedia.org/wiki/Florida" TargetMode="External"/><Relationship Id="rId701" Type="http://schemas.openxmlformats.org/officeDocument/2006/relationships/hyperlink" Target="https://en.wikipedia.org/wiki/Holmes_County,_Florida" TargetMode="External"/><Relationship Id="rId700" Type="http://schemas.openxmlformats.org/officeDocument/2006/relationships/hyperlink" Target="https://en.wikipedia.org/wiki/Florida" TargetMode="External"/><Relationship Id="rId705" Type="http://schemas.openxmlformats.org/officeDocument/2006/relationships/hyperlink" Target="https://en.wikipedia.org/wiki/Jackson_County,_Florida" TargetMode="External"/><Relationship Id="rId704" Type="http://schemas.openxmlformats.org/officeDocument/2006/relationships/hyperlink" Target="https://en.wikipedia.org/wiki/Florida" TargetMode="External"/><Relationship Id="rId703" Type="http://schemas.openxmlformats.org/officeDocument/2006/relationships/hyperlink" Target="https://en.wikipedia.org/wiki/Indian_River_County,_Florida" TargetMode="External"/><Relationship Id="rId702" Type="http://schemas.openxmlformats.org/officeDocument/2006/relationships/hyperlink" Target="https://en.wikipedia.org/wiki/Florida" TargetMode="External"/><Relationship Id="rId3951" Type="http://schemas.openxmlformats.org/officeDocument/2006/relationships/hyperlink" Target="https://en.wikipedia.org/wiki/Stanly_County,_North_Carolina" TargetMode="External"/><Relationship Id="rId2620" Type="http://schemas.openxmlformats.org/officeDocument/2006/relationships/hyperlink" Target="https://en.wikipedia.org/wiki/Michigan" TargetMode="External"/><Relationship Id="rId3950" Type="http://schemas.openxmlformats.org/officeDocument/2006/relationships/hyperlink" Target="https://en.wikipedia.org/wiki/North_Carolina" TargetMode="External"/><Relationship Id="rId2610" Type="http://schemas.openxmlformats.org/officeDocument/2006/relationships/hyperlink" Target="https://en.wikipedia.org/wiki/Michigan" TargetMode="External"/><Relationship Id="rId3942" Type="http://schemas.openxmlformats.org/officeDocument/2006/relationships/hyperlink" Target="https://en.wikipedia.org/wiki/North_Carolina" TargetMode="External"/><Relationship Id="rId2611" Type="http://schemas.openxmlformats.org/officeDocument/2006/relationships/hyperlink" Target="https://en.wikipedia.org/wiki/Saginaw_County,_Michigan" TargetMode="External"/><Relationship Id="rId3941" Type="http://schemas.openxmlformats.org/officeDocument/2006/relationships/hyperlink" Target="https://en.wikipedia.org/wiki/Rockingham_County,_North_Carolina" TargetMode="External"/><Relationship Id="rId2612" Type="http://schemas.openxmlformats.org/officeDocument/2006/relationships/hyperlink" Target="https://en.wikipedia.org/wiki/Michigan" TargetMode="External"/><Relationship Id="rId3944" Type="http://schemas.openxmlformats.org/officeDocument/2006/relationships/hyperlink" Target="https://en.wikipedia.org/wiki/North_Carolina" TargetMode="External"/><Relationship Id="rId2613" Type="http://schemas.openxmlformats.org/officeDocument/2006/relationships/hyperlink" Target="https://en.wikipedia.org/wiki/St._Clair_County,_Michigan" TargetMode="External"/><Relationship Id="rId3943" Type="http://schemas.openxmlformats.org/officeDocument/2006/relationships/hyperlink" Target="https://en.wikipedia.org/wiki/Rowan_County,_North_Carolina" TargetMode="External"/><Relationship Id="rId2614" Type="http://schemas.openxmlformats.org/officeDocument/2006/relationships/hyperlink" Target="https://en.wikipedia.org/wiki/Michigan" TargetMode="External"/><Relationship Id="rId3946" Type="http://schemas.openxmlformats.org/officeDocument/2006/relationships/hyperlink" Target="https://en.wikipedia.org/wiki/North_Carolina" TargetMode="External"/><Relationship Id="rId2615" Type="http://schemas.openxmlformats.org/officeDocument/2006/relationships/hyperlink" Target="https://en.wikipedia.org/wiki/St._Joseph_County,_Michigan" TargetMode="External"/><Relationship Id="rId3945" Type="http://schemas.openxmlformats.org/officeDocument/2006/relationships/hyperlink" Target="https://en.wikipedia.org/wiki/Rutherford_County,_North_Carolina" TargetMode="External"/><Relationship Id="rId2616" Type="http://schemas.openxmlformats.org/officeDocument/2006/relationships/hyperlink" Target="https://en.wikipedia.org/wiki/Michigan" TargetMode="External"/><Relationship Id="rId3948" Type="http://schemas.openxmlformats.org/officeDocument/2006/relationships/hyperlink" Target="https://en.wikipedia.org/wiki/North_Carolina" TargetMode="External"/><Relationship Id="rId2617" Type="http://schemas.openxmlformats.org/officeDocument/2006/relationships/hyperlink" Target="https://en.wikipedia.org/wiki/Sanilac_County,_Michigan" TargetMode="External"/><Relationship Id="rId3947" Type="http://schemas.openxmlformats.org/officeDocument/2006/relationships/hyperlink" Target="https://en.wikipedia.org/wiki/Sampson_County,_North_Carolina" TargetMode="External"/><Relationship Id="rId2618" Type="http://schemas.openxmlformats.org/officeDocument/2006/relationships/hyperlink" Target="https://en.wikipedia.org/wiki/Michigan" TargetMode="External"/><Relationship Id="rId2619" Type="http://schemas.openxmlformats.org/officeDocument/2006/relationships/hyperlink" Target="https://en.wikipedia.org/wiki/Schoolcraft_County,_Michigan" TargetMode="External"/><Relationship Id="rId3949" Type="http://schemas.openxmlformats.org/officeDocument/2006/relationships/hyperlink" Target="https://en.wikipedia.org/wiki/Scotland_County,_North_Carolina" TargetMode="External"/><Relationship Id="rId3940" Type="http://schemas.openxmlformats.org/officeDocument/2006/relationships/hyperlink" Target="https://en.wikipedia.org/wiki/North_Carolina" TargetMode="External"/><Relationship Id="rId1312" Type="http://schemas.openxmlformats.org/officeDocument/2006/relationships/hyperlink" Target="https://en.wikipedia.org/wiki/Illinois" TargetMode="External"/><Relationship Id="rId2643" Type="http://schemas.openxmlformats.org/officeDocument/2006/relationships/hyperlink" Target="https://en.wikipedia.org/wiki/Big_Stone_County,_Minnesota" TargetMode="External"/><Relationship Id="rId3975" Type="http://schemas.openxmlformats.org/officeDocument/2006/relationships/hyperlink" Target="https://en.wikipedia.org/wiki/Wayne_County,_North_Carolina" TargetMode="External"/><Relationship Id="rId1313" Type="http://schemas.openxmlformats.org/officeDocument/2006/relationships/hyperlink" Target="https://en.wikipedia.org/wiki/Madison_County,_Illinois" TargetMode="External"/><Relationship Id="rId2644" Type="http://schemas.openxmlformats.org/officeDocument/2006/relationships/hyperlink" Target="https://en.wikipedia.org/wiki/Minnesota" TargetMode="External"/><Relationship Id="rId3974" Type="http://schemas.openxmlformats.org/officeDocument/2006/relationships/hyperlink" Target="https://en.wikipedia.org/wiki/North_Carolina" TargetMode="External"/><Relationship Id="rId1314" Type="http://schemas.openxmlformats.org/officeDocument/2006/relationships/hyperlink" Target="https://en.wikipedia.org/wiki/Illinois" TargetMode="External"/><Relationship Id="rId2645" Type="http://schemas.openxmlformats.org/officeDocument/2006/relationships/hyperlink" Target="https://en.wikipedia.org/wiki/Blue_Earth_County,_Minnesota" TargetMode="External"/><Relationship Id="rId3977" Type="http://schemas.openxmlformats.org/officeDocument/2006/relationships/hyperlink" Target="https://en.wikipedia.org/wiki/Wilkes_County,_North_Carolina" TargetMode="External"/><Relationship Id="rId1315" Type="http://schemas.openxmlformats.org/officeDocument/2006/relationships/hyperlink" Target="https://en.wikipedia.org/wiki/Marion_County,_Illinois" TargetMode="External"/><Relationship Id="rId2646" Type="http://schemas.openxmlformats.org/officeDocument/2006/relationships/hyperlink" Target="https://en.wikipedia.org/wiki/Minnesota" TargetMode="External"/><Relationship Id="rId3976" Type="http://schemas.openxmlformats.org/officeDocument/2006/relationships/hyperlink" Target="https://en.wikipedia.org/wiki/North_Carolina" TargetMode="External"/><Relationship Id="rId1316" Type="http://schemas.openxmlformats.org/officeDocument/2006/relationships/hyperlink" Target="https://en.wikipedia.org/wiki/Illinois" TargetMode="External"/><Relationship Id="rId2647" Type="http://schemas.openxmlformats.org/officeDocument/2006/relationships/hyperlink" Target="https://en.wikipedia.org/wiki/Brown_County,_Minnesota" TargetMode="External"/><Relationship Id="rId3979" Type="http://schemas.openxmlformats.org/officeDocument/2006/relationships/hyperlink" Target="https://en.wikipedia.org/wiki/Wilson_County,_North_Carolina" TargetMode="External"/><Relationship Id="rId1317" Type="http://schemas.openxmlformats.org/officeDocument/2006/relationships/hyperlink" Target="https://en.wikipedia.org/wiki/Marshall_County,_Illinois" TargetMode="External"/><Relationship Id="rId2648" Type="http://schemas.openxmlformats.org/officeDocument/2006/relationships/hyperlink" Target="https://en.wikipedia.org/wiki/Minnesota" TargetMode="External"/><Relationship Id="rId3978" Type="http://schemas.openxmlformats.org/officeDocument/2006/relationships/hyperlink" Target="https://en.wikipedia.org/wiki/North_Carolina" TargetMode="External"/><Relationship Id="rId1318" Type="http://schemas.openxmlformats.org/officeDocument/2006/relationships/hyperlink" Target="https://en.wikipedia.org/wiki/Illinois" TargetMode="External"/><Relationship Id="rId2649" Type="http://schemas.openxmlformats.org/officeDocument/2006/relationships/hyperlink" Target="https://en.wikipedia.org/wiki/Carlton_County,_Minnesota" TargetMode="External"/><Relationship Id="rId1319" Type="http://schemas.openxmlformats.org/officeDocument/2006/relationships/hyperlink" Target="https://en.wikipedia.org/wiki/Mason_County,_Illinois" TargetMode="External"/><Relationship Id="rId729" Type="http://schemas.openxmlformats.org/officeDocument/2006/relationships/hyperlink" Target="https://en.wikipedia.org/wiki/Miami-Dade_County,_Florida" TargetMode="External"/><Relationship Id="rId728" Type="http://schemas.openxmlformats.org/officeDocument/2006/relationships/hyperlink" Target="https://en.wikipedia.org/wiki/Florida" TargetMode="External"/><Relationship Id="rId723" Type="http://schemas.openxmlformats.org/officeDocument/2006/relationships/hyperlink" Target="https://en.wikipedia.org/wiki/Manatee_County,_Florida" TargetMode="External"/><Relationship Id="rId722" Type="http://schemas.openxmlformats.org/officeDocument/2006/relationships/hyperlink" Target="https://en.wikipedia.org/wiki/Florida" TargetMode="External"/><Relationship Id="rId721" Type="http://schemas.openxmlformats.org/officeDocument/2006/relationships/hyperlink" Target="https://en.wikipedia.org/wiki/Madison_County,_Florida" TargetMode="External"/><Relationship Id="rId720" Type="http://schemas.openxmlformats.org/officeDocument/2006/relationships/hyperlink" Target="https://en.wikipedia.org/wiki/Florida" TargetMode="External"/><Relationship Id="rId727" Type="http://schemas.openxmlformats.org/officeDocument/2006/relationships/hyperlink" Target="https://en.wikipedia.org/wiki/Martin_County,_Florida" TargetMode="External"/><Relationship Id="rId726" Type="http://schemas.openxmlformats.org/officeDocument/2006/relationships/hyperlink" Target="https://en.wikipedia.org/wiki/Florida" TargetMode="External"/><Relationship Id="rId725" Type="http://schemas.openxmlformats.org/officeDocument/2006/relationships/hyperlink" Target="https://en.wikipedia.org/wiki/Marion_County,_Florida" TargetMode="External"/><Relationship Id="rId724" Type="http://schemas.openxmlformats.org/officeDocument/2006/relationships/hyperlink" Target="https://en.wikipedia.org/wiki/Florida" TargetMode="External"/><Relationship Id="rId3971" Type="http://schemas.openxmlformats.org/officeDocument/2006/relationships/hyperlink" Target="https://en.wikipedia.org/wiki/Washington_County,_North_Carolina" TargetMode="External"/><Relationship Id="rId2640" Type="http://schemas.openxmlformats.org/officeDocument/2006/relationships/hyperlink" Target="https://en.wikipedia.org/wiki/Minnesota" TargetMode="External"/><Relationship Id="rId3970" Type="http://schemas.openxmlformats.org/officeDocument/2006/relationships/hyperlink" Target="https://en.wikipedia.org/wiki/North_Carolina" TargetMode="External"/><Relationship Id="rId1310" Type="http://schemas.openxmlformats.org/officeDocument/2006/relationships/hyperlink" Target="https://en.wikipedia.org/wiki/Illinois" TargetMode="External"/><Relationship Id="rId2641" Type="http://schemas.openxmlformats.org/officeDocument/2006/relationships/hyperlink" Target="https://en.wikipedia.org/wiki/Benton_County,_Minnesota" TargetMode="External"/><Relationship Id="rId3973" Type="http://schemas.openxmlformats.org/officeDocument/2006/relationships/hyperlink" Target="https://en.wikipedia.org/wiki/Watauga_County,_North_Carolina" TargetMode="External"/><Relationship Id="rId1311" Type="http://schemas.openxmlformats.org/officeDocument/2006/relationships/hyperlink" Target="https://en.wikipedia.org/wiki/Macoupin_County,_Illinois" TargetMode="External"/><Relationship Id="rId2642" Type="http://schemas.openxmlformats.org/officeDocument/2006/relationships/hyperlink" Target="https://en.wikipedia.org/wiki/Minnesota" TargetMode="External"/><Relationship Id="rId3972" Type="http://schemas.openxmlformats.org/officeDocument/2006/relationships/hyperlink" Target="https://en.wikipedia.org/wiki/North_Carolina" TargetMode="External"/><Relationship Id="rId1301" Type="http://schemas.openxmlformats.org/officeDocument/2006/relationships/hyperlink" Target="https://en.wikipedia.org/wiki/Logan_County,_Illinois" TargetMode="External"/><Relationship Id="rId2632" Type="http://schemas.openxmlformats.org/officeDocument/2006/relationships/hyperlink" Target="https://en.wikipedia.org/wiki/Minnesota" TargetMode="External"/><Relationship Id="rId3964" Type="http://schemas.openxmlformats.org/officeDocument/2006/relationships/hyperlink" Target="https://en.wikipedia.org/wiki/North_Carolina" TargetMode="External"/><Relationship Id="rId1302" Type="http://schemas.openxmlformats.org/officeDocument/2006/relationships/hyperlink" Target="https://en.wikipedia.org/wiki/Illinois" TargetMode="External"/><Relationship Id="rId2633" Type="http://schemas.openxmlformats.org/officeDocument/2006/relationships/hyperlink" Target="https://en.wikipedia.org/wiki/Aitkin_County,_Minnesota" TargetMode="External"/><Relationship Id="rId3963" Type="http://schemas.openxmlformats.org/officeDocument/2006/relationships/hyperlink" Target="https://en.wikipedia.org/wiki/Union_County,_North_Carolina" TargetMode="External"/><Relationship Id="rId1303" Type="http://schemas.openxmlformats.org/officeDocument/2006/relationships/hyperlink" Target="https://en.wikipedia.org/wiki/McDonough_County,_Illinois" TargetMode="External"/><Relationship Id="rId2634" Type="http://schemas.openxmlformats.org/officeDocument/2006/relationships/hyperlink" Target="https://en.wikipedia.org/wiki/Minnesota" TargetMode="External"/><Relationship Id="rId3966" Type="http://schemas.openxmlformats.org/officeDocument/2006/relationships/hyperlink" Target="https://en.wikipedia.org/wiki/North_Carolina" TargetMode="External"/><Relationship Id="rId1304" Type="http://schemas.openxmlformats.org/officeDocument/2006/relationships/hyperlink" Target="https://en.wikipedia.org/wiki/Illinois" TargetMode="External"/><Relationship Id="rId2635" Type="http://schemas.openxmlformats.org/officeDocument/2006/relationships/hyperlink" Target="https://en.wikipedia.org/wiki/Anoka_County,_Minnesota" TargetMode="External"/><Relationship Id="rId3965" Type="http://schemas.openxmlformats.org/officeDocument/2006/relationships/hyperlink" Target="https://en.wikipedia.org/wiki/Vance_County,_North_Carolina" TargetMode="External"/><Relationship Id="rId1305" Type="http://schemas.openxmlformats.org/officeDocument/2006/relationships/hyperlink" Target="https://en.wikipedia.org/wiki/McHenry_County,_Illinois" TargetMode="External"/><Relationship Id="rId2636" Type="http://schemas.openxmlformats.org/officeDocument/2006/relationships/hyperlink" Target="https://en.wikipedia.org/wiki/Minnesota" TargetMode="External"/><Relationship Id="rId3968" Type="http://schemas.openxmlformats.org/officeDocument/2006/relationships/hyperlink" Target="https://en.wikipedia.org/wiki/North_Carolina" TargetMode="External"/><Relationship Id="rId1306" Type="http://schemas.openxmlformats.org/officeDocument/2006/relationships/hyperlink" Target="https://en.wikipedia.org/wiki/Illinois" TargetMode="External"/><Relationship Id="rId2637" Type="http://schemas.openxmlformats.org/officeDocument/2006/relationships/hyperlink" Target="https://en.wikipedia.org/wiki/Becker_County,_Minnesota" TargetMode="External"/><Relationship Id="rId3967" Type="http://schemas.openxmlformats.org/officeDocument/2006/relationships/hyperlink" Target="https://en.wikipedia.org/wiki/Wake_County,_North_Carolina" TargetMode="External"/><Relationship Id="rId1307" Type="http://schemas.openxmlformats.org/officeDocument/2006/relationships/hyperlink" Target="https://en.wikipedia.org/wiki/McLean_County,_Illinois" TargetMode="External"/><Relationship Id="rId2638" Type="http://schemas.openxmlformats.org/officeDocument/2006/relationships/hyperlink" Target="https://en.wikipedia.org/wiki/Minnesota" TargetMode="External"/><Relationship Id="rId1308" Type="http://schemas.openxmlformats.org/officeDocument/2006/relationships/hyperlink" Target="https://en.wikipedia.org/wiki/Illinois" TargetMode="External"/><Relationship Id="rId2639" Type="http://schemas.openxmlformats.org/officeDocument/2006/relationships/hyperlink" Target="https://en.wikipedia.org/wiki/Beltrami_County,_Minnesota" TargetMode="External"/><Relationship Id="rId3969" Type="http://schemas.openxmlformats.org/officeDocument/2006/relationships/hyperlink" Target="https://en.wikipedia.org/wiki/Warren_County,_North_Carolina" TargetMode="External"/><Relationship Id="rId1309" Type="http://schemas.openxmlformats.org/officeDocument/2006/relationships/hyperlink" Target="https://en.wikipedia.org/wiki/Macon_County,_Illinois" TargetMode="External"/><Relationship Id="rId719" Type="http://schemas.openxmlformats.org/officeDocument/2006/relationships/hyperlink" Target="https://en.wikipedia.org/wiki/Liberty_County,_Florida" TargetMode="External"/><Relationship Id="rId718" Type="http://schemas.openxmlformats.org/officeDocument/2006/relationships/hyperlink" Target="https://en.wikipedia.org/wiki/Florida" TargetMode="External"/><Relationship Id="rId717" Type="http://schemas.openxmlformats.org/officeDocument/2006/relationships/hyperlink" Target="https://en.wikipedia.org/wiki/Levy_County,_Florida" TargetMode="External"/><Relationship Id="rId712" Type="http://schemas.openxmlformats.org/officeDocument/2006/relationships/hyperlink" Target="https://en.wikipedia.org/wiki/Florida" TargetMode="External"/><Relationship Id="rId711" Type="http://schemas.openxmlformats.org/officeDocument/2006/relationships/hyperlink" Target="https://en.wikipedia.org/wiki/Lake_County,_Florida" TargetMode="External"/><Relationship Id="rId710" Type="http://schemas.openxmlformats.org/officeDocument/2006/relationships/hyperlink" Target="https://en.wikipedia.org/wiki/Florida" TargetMode="External"/><Relationship Id="rId716" Type="http://schemas.openxmlformats.org/officeDocument/2006/relationships/hyperlink" Target="https://en.wikipedia.org/wiki/Florida" TargetMode="External"/><Relationship Id="rId715" Type="http://schemas.openxmlformats.org/officeDocument/2006/relationships/hyperlink" Target="https://en.wikipedia.org/wiki/Leon_County,_Florida" TargetMode="External"/><Relationship Id="rId714" Type="http://schemas.openxmlformats.org/officeDocument/2006/relationships/hyperlink" Target="https://en.wikipedia.org/wiki/Florida" TargetMode="External"/><Relationship Id="rId713" Type="http://schemas.openxmlformats.org/officeDocument/2006/relationships/hyperlink" Target="https://en.wikipedia.org/wiki/Lee_County,_Florida" TargetMode="External"/><Relationship Id="rId3960" Type="http://schemas.openxmlformats.org/officeDocument/2006/relationships/hyperlink" Target="https://en.wikipedia.org/wiki/North_Carolina" TargetMode="External"/><Relationship Id="rId2630" Type="http://schemas.openxmlformats.org/officeDocument/2006/relationships/hyperlink" Target="https://en.wikipedia.org/wiki/Michigan" TargetMode="External"/><Relationship Id="rId3962" Type="http://schemas.openxmlformats.org/officeDocument/2006/relationships/hyperlink" Target="https://en.wikipedia.org/wiki/North_Carolina" TargetMode="External"/><Relationship Id="rId1300" Type="http://schemas.openxmlformats.org/officeDocument/2006/relationships/hyperlink" Target="https://en.wikipedia.org/wiki/Illinois" TargetMode="External"/><Relationship Id="rId2631" Type="http://schemas.openxmlformats.org/officeDocument/2006/relationships/hyperlink" Target="https://en.wikipedia.org/wiki/Wexford_County,_Michigan" TargetMode="External"/><Relationship Id="rId3961" Type="http://schemas.openxmlformats.org/officeDocument/2006/relationships/hyperlink" Target="https://en.wikipedia.org/wiki/Tyrrell_County,_North_Carolina" TargetMode="External"/><Relationship Id="rId1378" Type="http://schemas.openxmlformats.org/officeDocument/2006/relationships/hyperlink" Target="https://en.wikipedia.org/wiki/Illinois" TargetMode="External"/><Relationship Id="rId1379" Type="http://schemas.openxmlformats.org/officeDocument/2006/relationships/hyperlink" Target="https://en.wikipedia.org/wiki/Wabash_County,_Illinois" TargetMode="External"/><Relationship Id="rId789" Type="http://schemas.openxmlformats.org/officeDocument/2006/relationships/hyperlink" Target="https://en.wikipedia.org/wiki/Banks_County,_Georgia" TargetMode="External"/><Relationship Id="rId788" Type="http://schemas.openxmlformats.org/officeDocument/2006/relationships/hyperlink" Target="https://en.wikipedia.org/wiki/Georgia_(U.S._state)" TargetMode="External"/><Relationship Id="rId787" Type="http://schemas.openxmlformats.org/officeDocument/2006/relationships/hyperlink" Target="https://en.wikipedia.org/wiki/Baldwin_County,_Georgia" TargetMode="External"/><Relationship Id="rId786" Type="http://schemas.openxmlformats.org/officeDocument/2006/relationships/hyperlink" Target="https://en.wikipedia.org/wiki/Georgia_(U.S._state)" TargetMode="External"/><Relationship Id="rId781" Type="http://schemas.openxmlformats.org/officeDocument/2006/relationships/hyperlink" Target="https://en.wikipedia.org/wiki/Atkinson_County,_Georgia" TargetMode="External"/><Relationship Id="rId1370" Type="http://schemas.openxmlformats.org/officeDocument/2006/relationships/hyperlink" Target="https://en.wikipedia.org/wiki/Illinois" TargetMode="External"/><Relationship Id="rId780" Type="http://schemas.openxmlformats.org/officeDocument/2006/relationships/hyperlink" Target="https://en.wikipedia.org/wiki/Georgia_(U.S._state)" TargetMode="External"/><Relationship Id="rId1371" Type="http://schemas.openxmlformats.org/officeDocument/2006/relationships/hyperlink" Target="https://en.wikipedia.org/wiki/Stephenson_County,_Illinois" TargetMode="External"/><Relationship Id="rId1372" Type="http://schemas.openxmlformats.org/officeDocument/2006/relationships/hyperlink" Target="https://en.wikipedia.org/wiki/Illinois" TargetMode="External"/><Relationship Id="rId1373" Type="http://schemas.openxmlformats.org/officeDocument/2006/relationships/hyperlink" Target="https://en.wikipedia.org/wiki/Tazewell_County,_Illinois" TargetMode="External"/><Relationship Id="rId785" Type="http://schemas.openxmlformats.org/officeDocument/2006/relationships/hyperlink" Target="https://en.wikipedia.org/wiki/Baker_County,_Georgia" TargetMode="External"/><Relationship Id="rId1374" Type="http://schemas.openxmlformats.org/officeDocument/2006/relationships/hyperlink" Target="https://en.wikipedia.org/wiki/Illinois" TargetMode="External"/><Relationship Id="rId784" Type="http://schemas.openxmlformats.org/officeDocument/2006/relationships/hyperlink" Target="https://en.wikipedia.org/wiki/Georgia_(U.S._state)" TargetMode="External"/><Relationship Id="rId1375" Type="http://schemas.openxmlformats.org/officeDocument/2006/relationships/hyperlink" Target="https://en.wikipedia.org/wiki/Union_County,_Illinois" TargetMode="External"/><Relationship Id="rId783" Type="http://schemas.openxmlformats.org/officeDocument/2006/relationships/hyperlink" Target="https://en.wikipedia.org/wiki/Bacon_County,_Georgia" TargetMode="External"/><Relationship Id="rId1376" Type="http://schemas.openxmlformats.org/officeDocument/2006/relationships/hyperlink" Target="https://en.wikipedia.org/wiki/Illinois" TargetMode="External"/><Relationship Id="rId782" Type="http://schemas.openxmlformats.org/officeDocument/2006/relationships/hyperlink" Target="https://en.wikipedia.org/wiki/Georgia_(U.S._state)" TargetMode="External"/><Relationship Id="rId1377" Type="http://schemas.openxmlformats.org/officeDocument/2006/relationships/hyperlink" Target="https://en.wikipedia.org/wiki/Vermilion_County,_Illinois" TargetMode="External"/><Relationship Id="rId1367" Type="http://schemas.openxmlformats.org/officeDocument/2006/relationships/hyperlink" Target="https://en.wikipedia.org/wiki/Shelby_County,_Illinois" TargetMode="External"/><Relationship Id="rId2698" Type="http://schemas.openxmlformats.org/officeDocument/2006/relationships/hyperlink" Target="https://en.wikipedia.org/wiki/Minnesota" TargetMode="External"/><Relationship Id="rId1368" Type="http://schemas.openxmlformats.org/officeDocument/2006/relationships/hyperlink" Target="https://en.wikipedia.org/wiki/Illinois" TargetMode="External"/><Relationship Id="rId2699" Type="http://schemas.openxmlformats.org/officeDocument/2006/relationships/hyperlink" Target="https://en.wikipedia.org/wiki/Kandiyohi_County,_Minnesota" TargetMode="External"/><Relationship Id="rId1369" Type="http://schemas.openxmlformats.org/officeDocument/2006/relationships/hyperlink" Target="https://en.wikipedia.org/wiki/Stark_County,_Illinois" TargetMode="External"/><Relationship Id="rId778" Type="http://schemas.openxmlformats.org/officeDocument/2006/relationships/hyperlink" Target="https://en.wikipedia.org/wiki/Georgia_(U.S._state)" TargetMode="External"/><Relationship Id="rId777" Type="http://schemas.openxmlformats.org/officeDocument/2006/relationships/hyperlink" Target="https://en.wikipedia.org/wiki/Washington_County,_Florida" TargetMode="External"/><Relationship Id="rId776" Type="http://schemas.openxmlformats.org/officeDocument/2006/relationships/hyperlink" Target="https://en.wikipedia.org/wiki/Florida" TargetMode="External"/><Relationship Id="rId775" Type="http://schemas.openxmlformats.org/officeDocument/2006/relationships/hyperlink" Target="https://en.wikipedia.org/wiki/Walton_County,_Florida" TargetMode="External"/><Relationship Id="rId779" Type="http://schemas.openxmlformats.org/officeDocument/2006/relationships/hyperlink" Target="https://en.wikipedia.org/wiki/Appling_County,_Georgia" TargetMode="External"/><Relationship Id="rId770" Type="http://schemas.openxmlformats.org/officeDocument/2006/relationships/hyperlink" Target="https://en.wikipedia.org/wiki/Florida" TargetMode="External"/><Relationship Id="rId2690" Type="http://schemas.openxmlformats.org/officeDocument/2006/relationships/hyperlink" Target="https://en.wikipedia.org/wiki/Minnesota" TargetMode="External"/><Relationship Id="rId1360" Type="http://schemas.openxmlformats.org/officeDocument/2006/relationships/hyperlink" Target="https://en.wikipedia.org/wiki/Illinois" TargetMode="External"/><Relationship Id="rId2691" Type="http://schemas.openxmlformats.org/officeDocument/2006/relationships/hyperlink" Target="https://en.wikipedia.org/wiki/Isanti_County,_Minnesota" TargetMode="External"/><Relationship Id="rId1361" Type="http://schemas.openxmlformats.org/officeDocument/2006/relationships/hyperlink" Target="https://en.wikipedia.org/wiki/Sangamon_County,_Illinois" TargetMode="External"/><Relationship Id="rId2692" Type="http://schemas.openxmlformats.org/officeDocument/2006/relationships/hyperlink" Target="https://en.wikipedia.org/wiki/Minnesota" TargetMode="External"/><Relationship Id="rId1362" Type="http://schemas.openxmlformats.org/officeDocument/2006/relationships/hyperlink" Target="https://en.wikipedia.org/wiki/Illinois" TargetMode="External"/><Relationship Id="rId2693" Type="http://schemas.openxmlformats.org/officeDocument/2006/relationships/hyperlink" Target="https://en.wikipedia.org/wiki/Itasca_County,_Minnesota" TargetMode="External"/><Relationship Id="rId774" Type="http://schemas.openxmlformats.org/officeDocument/2006/relationships/hyperlink" Target="https://en.wikipedia.org/wiki/Florida" TargetMode="External"/><Relationship Id="rId1363" Type="http://schemas.openxmlformats.org/officeDocument/2006/relationships/hyperlink" Target="https://en.wikipedia.org/wiki/Schuyler_County,_Illinois" TargetMode="External"/><Relationship Id="rId2694" Type="http://schemas.openxmlformats.org/officeDocument/2006/relationships/hyperlink" Target="https://en.wikipedia.org/wiki/Minnesota" TargetMode="External"/><Relationship Id="rId773" Type="http://schemas.openxmlformats.org/officeDocument/2006/relationships/hyperlink" Target="https://en.wikipedia.org/wiki/Wakulla_County,_Florida" TargetMode="External"/><Relationship Id="rId1364" Type="http://schemas.openxmlformats.org/officeDocument/2006/relationships/hyperlink" Target="https://en.wikipedia.org/wiki/Illinois" TargetMode="External"/><Relationship Id="rId2695" Type="http://schemas.openxmlformats.org/officeDocument/2006/relationships/hyperlink" Target="https://en.wikipedia.org/wiki/Jackson_County,_Minnesota" TargetMode="External"/><Relationship Id="rId772" Type="http://schemas.openxmlformats.org/officeDocument/2006/relationships/hyperlink" Target="https://en.wikipedia.org/wiki/Florida" TargetMode="External"/><Relationship Id="rId1365" Type="http://schemas.openxmlformats.org/officeDocument/2006/relationships/hyperlink" Target="https://en.wikipedia.org/wiki/Scott_County,_Illinois" TargetMode="External"/><Relationship Id="rId2696" Type="http://schemas.openxmlformats.org/officeDocument/2006/relationships/hyperlink" Target="https://en.wikipedia.org/wiki/Minnesota" TargetMode="External"/><Relationship Id="rId771" Type="http://schemas.openxmlformats.org/officeDocument/2006/relationships/hyperlink" Target="https://en.wikipedia.org/wiki/Volusia_County,_Florida" TargetMode="External"/><Relationship Id="rId1366" Type="http://schemas.openxmlformats.org/officeDocument/2006/relationships/hyperlink" Target="https://en.wikipedia.org/wiki/Illinois" TargetMode="External"/><Relationship Id="rId2697" Type="http://schemas.openxmlformats.org/officeDocument/2006/relationships/hyperlink" Target="https://en.wikipedia.org/wiki/Kanabec_County,_Minnesota" TargetMode="External"/><Relationship Id="rId1390" Type="http://schemas.openxmlformats.org/officeDocument/2006/relationships/hyperlink" Target="https://en.wikipedia.org/wiki/Illinois" TargetMode="External"/><Relationship Id="rId1391" Type="http://schemas.openxmlformats.org/officeDocument/2006/relationships/hyperlink" Target="https://en.wikipedia.org/wiki/Will_County,_Illinois" TargetMode="External"/><Relationship Id="rId1392" Type="http://schemas.openxmlformats.org/officeDocument/2006/relationships/hyperlink" Target="https://en.wikipedia.org/wiki/Illinois" TargetMode="External"/><Relationship Id="rId1393" Type="http://schemas.openxmlformats.org/officeDocument/2006/relationships/hyperlink" Target="https://en.wikipedia.org/wiki/Williamson_County,_Illinois" TargetMode="External"/><Relationship Id="rId1394" Type="http://schemas.openxmlformats.org/officeDocument/2006/relationships/hyperlink" Target="https://en.wikipedia.org/wiki/Illinois" TargetMode="External"/><Relationship Id="rId1395" Type="http://schemas.openxmlformats.org/officeDocument/2006/relationships/hyperlink" Target="https://en.wikipedia.org/wiki/Winnebago_County,_Illinois" TargetMode="External"/><Relationship Id="rId1396" Type="http://schemas.openxmlformats.org/officeDocument/2006/relationships/hyperlink" Target="https://en.wikipedia.org/wiki/Illinois" TargetMode="External"/><Relationship Id="rId1397" Type="http://schemas.openxmlformats.org/officeDocument/2006/relationships/hyperlink" Target="https://en.wikipedia.org/wiki/Woodford_County,_Illinois" TargetMode="External"/><Relationship Id="rId1398" Type="http://schemas.openxmlformats.org/officeDocument/2006/relationships/hyperlink" Target="https://en.wikipedia.org/wiki/Indiana" TargetMode="External"/><Relationship Id="rId1399" Type="http://schemas.openxmlformats.org/officeDocument/2006/relationships/hyperlink" Target="https://en.wikipedia.org/wiki/Adams_County,_Indiana" TargetMode="External"/><Relationship Id="rId1389" Type="http://schemas.openxmlformats.org/officeDocument/2006/relationships/hyperlink" Target="https://en.wikipedia.org/wiki/Whiteside_County,_Illinois" TargetMode="External"/><Relationship Id="rId799" Type="http://schemas.openxmlformats.org/officeDocument/2006/relationships/hyperlink" Target="https://en.wikipedia.org/wiki/Bibb_County,_Georgia" TargetMode="External"/><Relationship Id="rId798" Type="http://schemas.openxmlformats.org/officeDocument/2006/relationships/hyperlink" Target="https://en.wikipedia.org/wiki/Georgia_(U.S._state)" TargetMode="External"/><Relationship Id="rId797" Type="http://schemas.openxmlformats.org/officeDocument/2006/relationships/hyperlink" Target="https://en.wikipedia.org/wiki/Berrien_County,_Georgia" TargetMode="External"/><Relationship Id="rId1380" Type="http://schemas.openxmlformats.org/officeDocument/2006/relationships/hyperlink" Target="https://en.wikipedia.org/wiki/Illinois" TargetMode="External"/><Relationship Id="rId792" Type="http://schemas.openxmlformats.org/officeDocument/2006/relationships/hyperlink" Target="https://en.wikipedia.org/wiki/Georgia_(U.S._state)" TargetMode="External"/><Relationship Id="rId1381" Type="http://schemas.openxmlformats.org/officeDocument/2006/relationships/hyperlink" Target="https://en.wikipedia.org/wiki/Warren_County,_Illinois" TargetMode="External"/><Relationship Id="rId791" Type="http://schemas.openxmlformats.org/officeDocument/2006/relationships/hyperlink" Target="https://en.wikipedia.org/wiki/Barrow_County,_Georgia" TargetMode="External"/><Relationship Id="rId1382" Type="http://schemas.openxmlformats.org/officeDocument/2006/relationships/hyperlink" Target="https://en.wikipedia.org/wiki/Illinois" TargetMode="External"/><Relationship Id="rId790" Type="http://schemas.openxmlformats.org/officeDocument/2006/relationships/hyperlink" Target="https://en.wikipedia.org/wiki/Georgia_(U.S._state)" TargetMode="External"/><Relationship Id="rId1383" Type="http://schemas.openxmlformats.org/officeDocument/2006/relationships/hyperlink" Target="https://en.wikipedia.org/wiki/Washington_County,_Illinois" TargetMode="External"/><Relationship Id="rId1384" Type="http://schemas.openxmlformats.org/officeDocument/2006/relationships/hyperlink" Target="https://en.wikipedia.org/wiki/Illinois" TargetMode="External"/><Relationship Id="rId796" Type="http://schemas.openxmlformats.org/officeDocument/2006/relationships/hyperlink" Target="https://en.wikipedia.org/wiki/Georgia_(U.S._state)" TargetMode="External"/><Relationship Id="rId1385" Type="http://schemas.openxmlformats.org/officeDocument/2006/relationships/hyperlink" Target="https://en.wikipedia.org/wiki/Wayne_County,_Illinois" TargetMode="External"/><Relationship Id="rId795" Type="http://schemas.openxmlformats.org/officeDocument/2006/relationships/hyperlink" Target="https://en.wikipedia.org/wiki/Ben_Hill_County,_Georgia" TargetMode="External"/><Relationship Id="rId1386" Type="http://schemas.openxmlformats.org/officeDocument/2006/relationships/hyperlink" Target="https://en.wikipedia.org/wiki/Illinois" TargetMode="External"/><Relationship Id="rId794" Type="http://schemas.openxmlformats.org/officeDocument/2006/relationships/hyperlink" Target="https://en.wikipedia.org/wiki/Georgia_(U.S._state)" TargetMode="External"/><Relationship Id="rId1387" Type="http://schemas.openxmlformats.org/officeDocument/2006/relationships/hyperlink" Target="https://en.wikipedia.org/wiki/White_County,_Illinois" TargetMode="External"/><Relationship Id="rId793" Type="http://schemas.openxmlformats.org/officeDocument/2006/relationships/hyperlink" Target="https://en.wikipedia.org/wiki/Bartow_County,_Georgia" TargetMode="External"/><Relationship Id="rId1388" Type="http://schemas.openxmlformats.org/officeDocument/2006/relationships/hyperlink" Target="https://en.wikipedia.org/wiki/Illinois" TargetMode="External"/><Relationship Id="rId6229" Type="http://schemas.openxmlformats.org/officeDocument/2006/relationships/hyperlink" Target="https://en.wikipedia.org/wiki/Walworth_County,_Wisconsin" TargetMode="External"/><Relationship Id="rId6220" Type="http://schemas.openxmlformats.org/officeDocument/2006/relationships/hyperlink" Target="https://en.wikipedia.org/wiki/Wisconsin" TargetMode="External"/><Relationship Id="rId6223" Type="http://schemas.openxmlformats.org/officeDocument/2006/relationships/hyperlink" Target="https://en.wikipedia.org/wiki/Trempealeau_County,_Wisconsin" TargetMode="External"/><Relationship Id="rId6224" Type="http://schemas.openxmlformats.org/officeDocument/2006/relationships/hyperlink" Target="https://en.wikipedia.org/wiki/Wisconsin" TargetMode="External"/><Relationship Id="rId6221" Type="http://schemas.openxmlformats.org/officeDocument/2006/relationships/hyperlink" Target="https://en.wikipedia.org/wiki/Taylor_County,_Wisconsin" TargetMode="External"/><Relationship Id="rId6222" Type="http://schemas.openxmlformats.org/officeDocument/2006/relationships/hyperlink" Target="https://en.wikipedia.org/wiki/Wisconsin" TargetMode="External"/><Relationship Id="rId6227" Type="http://schemas.openxmlformats.org/officeDocument/2006/relationships/hyperlink" Target="https://en.wikipedia.org/wiki/Vilas_County,_Wisconsin" TargetMode="External"/><Relationship Id="rId6228" Type="http://schemas.openxmlformats.org/officeDocument/2006/relationships/hyperlink" Target="https://en.wikipedia.org/wiki/Wisconsin" TargetMode="External"/><Relationship Id="rId6225" Type="http://schemas.openxmlformats.org/officeDocument/2006/relationships/hyperlink" Target="https://en.wikipedia.org/wiki/Vernon_County,_Wisconsin" TargetMode="External"/><Relationship Id="rId6226" Type="http://schemas.openxmlformats.org/officeDocument/2006/relationships/hyperlink" Target="https://en.wikipedia.org/wiki/Wisconsin" TargetMode="External"/><Relationship Id="rId6218" Type="http://schemas.openxmlformats.org/officeDocument/2006/relationships/hyperlink" Target="https://en.wikipedia.org/wiki/Wisconsin" TargetMode="External"/><Relationship Id="rId6219" Type="http://schemas.openxmlformats.org/officeDocument/2006/relationships/hyperlink" Target="https://en.wikipedia.org/wiki/Sheboygan_County,_Wisconsin" TargetMode="External"/><Relationship Id="rId6212" Type="http://schemas.openxmlformats.org/officeDocument/2006/relationships/hyperlink" Target="https://en.wikipedia.org/wiki/Wisconsin" TargetMode="External"/><Relationship Id="rId6213" Type="http://schemas.openxmlformats.org/officeDocument/2006/relationships/hyperlink" Target="https://en.wikipedia.org/wiki/Sauk_County,_Wisconsin" TargetMode="External"/><Relationship Id="rId6210" Type="http://schemas.openxmlformats.org/officeDocument/2006/relationships/hyperlink" Target="https://en.wikipedia.org/wiki/Wisconsin" TargetMode="External"/><Relationship Id="rId6211" Type="http://schemas.openxmlformats.org/officeDocument/2006/relationships/hyperlink" Target="https://en.wikipedia.org/wiki/St._Croix_County,_Wisconsin" TargetMode="External"/><Relationship Id="rId6216" Type="http://schemas.openxmlformats.org/officeDocument/2006/relationships/hyperlink" Target="https://en.wikipedia.org/wiki/Wisconsin" TargetMode="External"/><Relationship Id="rId6217" Type="http://schemas.openxmlformats.org/officeDocument/2006/relationships/hyperlink" Target="https://en.wikipedia.org/wiki/Shawano_County,_Wisconsin" TargetMode="External"/><Relationship Id="rId6214" Type="http://schemas.openxmlformats.org/officeDocument/2006/relationships/hyperlink" Target="https://en.wikipedia.org/wiki/Wisconsin" TargetMode="External"/><Relationship Id="rId6215" Type="http://schemas.openxmlformats.org/officeDocument/2006/relationships/hyperlink" Target="https://en.wikipedia.org/wiki/Sawyer_County,_Wisconsin" TargetMode="External"/><Relationship Id="rId6241" Type="http://schemas.openxmlformats.org/officeDocument/2006/relationships/hyperlink" Target="https://en.wikipedia.org/wiki/Winnebago_County,_Wisconsin" TargetMode="External"/><Relationship Id="rId6242" Type="http://schemas.openxmlformats.org/officeDocument/2006/relationships/hyperlink" Target="https://en.wikipedia.org/wiki/Wisconsin" TargetMode="External"/><Relationship Id="rId6240" Type="http://schemas.openxmlformats.org/officeDocument/2006/relationships/hyperlink" Target="https://en.wikipedia.org/wiki/Wisconsin" TargetMode="External"/><Relationship Id="rId6245" Type="http://schemas.openxmlformats.org/officeDocument/2006/relationships/hyperlink" Target="https://en.wikipedia.org/wiki/Albany_County,_Wyoming" TargetMode="External"/><Relationship Id="rId6246" Type="http://schemas.openxmlformats.org/officeDocument/2006/relationships/hyperlink" Target="https://en.wikipedia.org/wiki/Wyoming" TargetMode="External"/><Relationship Id="rId6243" Type="http://schemas.openxmlformats.org/officeDocument/2006/relationships/hyperlink" Target="https://en.wikipedia.org/wiki/Wood_County,_Wisconsin" TargetMode="External"/><Relationship Id="rId6244" Type="http://schemas.openxmlformats.org/officeDocument/2006/relationships/hyperlink" Target="https://en.wikipedia.org/wiki/Wyoming" TargetMode="External"/><Relationship Id="rId6249" Type="http://schemas.openxmlformats.org/officeDocument/2006/relationships/hyperlink" Target="https://en.wikipedia.org/wiki/Campbell_County,_Wyoming" TargetMode="External"/><Relationship Id="rId6247" Type="http://schemas.openxmlformats.org/officeDocument/2006/relationships/hyperlink" Target="https://en.wikipedia.org/wiki/Big_Horn_County,_Wyoming" TargetMode="External"/><Relationship Id="rId6248" Type="http://schemas.openxmlformats.org/officeDocument/2006/relationships/hyperlink" Target="https://en.wikipedia.org/wiki/Wyoming" TargetMode="External"/><Relationship Id="rId6230" Type="http://schemas.openxmlformats.org/officeDocument/2006/relationships/hyperlink" Target="https://en.wikipedia.org/wiki/Wisconsin" TargetMode="External"/><Relationship Id="rId6231" Type="http://schemas.openxmlformats.org/officeDocument/2006/relationships/hyperlink" Target="https://en.wikipedia.org/wiki/Washburn_County,_Wisconsin" TargetMode="External"/><Relationship Id="rId6234" Type="http://schemas.openxmlformats.org/officeDocument/2006/relationships/hyperlink" Target="https://en.wikipedia.org/wiki/Wisconsin" TargetMode="External"/><Relationship Id="rId6235" Type="http://schemas.openxmlformats.org/officeDocument/2006/relationships/hyperlink" Target="https://en.wikipedia.org/wiki/Waukesha_County,_Wisconsin" TargetMode="External"/><Relationship Id="rId6232" Type="http://schemas.openxmlformats.org/officeDocument/2006/relationships/hyperlink" Target="https://en.wikipedia.org/wiki/Wisconsin" TargetMode="External"/><Relationship Id="rId6233" Type="http://schemas.openxmlformats.org/officeDocument/2006/relationships/hyperlink" Target="https://en.wikipedia.org/wiki/Washington_County,_Wisconsin" TargetMode="External"/><Relationship Id="rId6238" Type="http://schemas.openxmlformats.org/officeDocument/2006/relationships/hyperlink" Target="https://en.wikipedia.org/wiki/Wisconsin" TargetMode="External"/><Relationship Id="rId6239" Type="http://schemas.openxmlformats.org/officeDocument/2006/relationships/hyperlink" Target="https://en.wikipedia.org/wiki/Waushara_County,_Wisconsin" TargetMode="External"/><Relationship Id="rId6236" Type="http://schemas.openxmlformats.org/officeDocument/2006/relationships/hyperlink" Target="https://en.wikipedia.org/wiki/Wisconsin" TargetMode="External"/><Relationship Id="rId6237" Type="http://schemas.openxmlformats.org/officeDocument/2006/relationships/hyperlink" Target="https://en.wikipedia.org/wiki/Waupaca_County,_Wisconsin" TargetMode="External"/><Relationship Id="rId6209" Type="http://schemas.openxmlformats.org/officeDocument/2006/relationships/hyperlink" Target="https://en.wikipedia.org/wiki/Rusk_County,_Wisconsin" TargetMode="External"/><Relationship Id="rId6207" Type="http://schemas.openxmlformats.org/officeDocument/2006/relationships/hyperlink" Target="https://en.wikipedia.org/wiki/Rock_County,_Wisconsin" TargetMode="External"/><Relationship Id="rId6208" Type="http://schemas.openxmlformats.org/officeDocument/2006/relationships/hyperlink" Target="https://en.wikipedia.org/wiki/Wisconsin" TargetMode="External"/><Relationship Id="rId6201" Type="http://schemas.openxmlformats.org/officeDocument/2006/relationships/hyperlink" Target="https://en.wikipedia.org/wiki/Price_County,_Wisconsin" TargetMode="External"/><Relationship Id="rId6202" Type="http://schemas.openxmlformats.org/officeDocument/2006/relationships/hyperlink" Target="https://en.wikipedia.org/wiki/Wisconsin" TargetMode="External"/><Relationship Id="rId6200" Type="http://schemas.openxmlformats.org/officeDocument/2006/relationships/hyperlink" Target="https://en.wikipedia.org/wiki/Wisconsin" TargetMode="External"/><Relationship Id="rId6205" Type="http://schemas.openxmlformats.org/officeDocument/2006/relationships/hyperlink" Target="https://en.wikipedia.org/wiki/Richland_County,_Wisconsin" TargetMode="External"/><Relationship Id="rId6206" Type="http://schemas.openxmlformats.org/officeDocument/2006/relationships/hyperlink" Target="https://en.wikipedia.org/wiki/Wisconsin" TargetMode="External"/><Relationship Id="rId6203" Type="http://schemas.openxmlformats.org/officeDocument/2006/relationships/hyperlink" Target="https://en.wikipedia.org/wiki/Racine_County,_Wisconsin" TargetMode="External"/><Relationship Id="rId6204" Type="http://schemas.openxmlformats.org/officeDocument/2006/relationships/hyperlink" Target="https://en.wikipedia.org/wiki/Wisconsin" TargetMode="External"/><Relationship Id="rId2700" Type="http://schemas.openxmlformats.org/officeDocument/2006/relationships/hyperlink" Target="https://en.wikipedia.org/wiki/Minnesota" TargetMode="External"/><Relationship Id="rId2701" Type="http://schemas.openxmlformats.org/officeDocument/2006/relationships/hyperlink" Target="https://en.wikipedia.org/wiki/Kittson_County,_Minnesota" TargetMode="External"/><Relationship Id="rId2702" Type="http://schemas.openxmlformats.org/officeDocument/2006/relationships/hyperlink" Target="https://en.wikipedia.org/wiki/Minnesota" TargetMode="External"/><Relationship Id="rId2703" Type="http://schemas.openxmlformats.org/officeDocument/2006/relationships/hyperlink" Target="https://en.wikipedia.org/wiki/Koochiching_County,_Minnesota" TargetMode="External"/><Relationship Id="rId2704" Type="http://schemas.openxmlformats.org/officeDocument/2006/relationships/hyperlink" Target="https://en.wikipedia.org/wiki/Minnesota" TargetMode="External"/><Relationship Id="rId2705" Type="http://schemas.openxmlformats.org/officeDocument/2006/relationships/hyperlink" Target="https://en.wikipedia.org/wiki/Lac_qui_Parle_County,_Minnesota" TargetMode="External"/><Relationship Id="rId2706" Type="http://schemas.openxmlformats.org/officeDocument/2006/relationships/hyperlink" Target="https://en.wikipedia.org/wiki/Minnesota" TargetMode="External"/><Relationship Id="rId2707" Type="http://schemas.openxmlformats.org/officeDocument/2006/relationships/hyperlink" Target="https://en.wikipedia.org/wiki/Lake_County,_Minnesota" TargetMode="External"/><Relationship Id="rId2708" Type="http://schemas.openxmlformats.org/officeDocument/2006/relationships/hyperlink" Target="https://en.wikipedia.org/wiki/Minnesota" TargetMode="External"/><Relationship Id="rId2709" Type="http://schemas.openxmlformats.org/officeDocument/2006/relationships/hyperlink" Target="https://en.wikipedia.org/wiki/Lake_of_the_Woods_County,_Minnesota" TargetMode="External"/><Relationship Id="rId6290" Type="http://schemas.openxmlformats.org/officeDocument/2006/relationships/drawing" Target="../drawings/drawing1.xml"/><Relationship Id="rId2720" Type="http://schemas.openxmlformats.org/officeDocument/2006/relationships/hyperlink" Target="https://en.wikipedia.org/wiki/Minnesota" TargetMode="External"/><Relationship Id="rId2721" Type="http://schemas.openxmlformats.org/officeDocument/2006/relationships/hyperlink" Target="https://en.wikipedia.org/wiki/Marshall_County,_Minnesota" TargetMode="External"/><Relationship Id="rId2722" Type="http://schemas.openxmlformats.org/officeDocument/2006/relationships/hyperlink" Target="https://en.wikipedia.org/wiki/Minnesota" TargetMode="External"/><Relationship Id="rId2723" Type="http://schemas.openxmlformats.org/officeDocument/2006/relationships/hyperlink" Target="https://en.wikipedia.org/wiki/Martin_County,_Minnesota" TargetMode="External"/><Relationship Id="rId2724" Type="http://schemas.openxmlformats.org/officeDocument/2006/relationships/hyperlink" Target="https://en.wikipedia.org/wiki/Minnesota" TargetMode="External"/><Relationship Id="rId2725" Type="http://schemas.openxmlformats.org/officeDocument/2006/relationships/hyperlink" Target="https://en.wikipedia.org/wiki/Meeker_County,_Minnesota" TargetMode="External"/><Relationship Id="rId2726" Type="http://schemas.openxmlformats.org/officeDocument/2006/relationships/hyperlink" Target="https://en.wikipedia.org/wiki/Minnesota" TargetMode="External"/><Relationship Id="rId2727" Type="http://schemas.openxmlformats.org/officeDocument/2006/relationships/hyperlink" Target="https://en.wikipedia.org/wiki/Mille_Lacs_County,_Minnesota" TargetMode="External"/><Relationship Id="rId2728" Type="http://schemas.openxmlformats.org/officeDocument/2006/relationships/hyperlink" Target="https://en.wikipedia.org/wiki/Minnesota" TargetMode="External"/><Relationship Id="rId2729" Type="http://schemas.openxmlformats.org/officeDocument/2006/relationships/hyperlink" Target="https://en.wikipedia.org/wiki/Morrison_County,_Minnesota" TargetMode="External"/><Relationship Id="rId2710" Type="http://schemas.openxmlformats.org/officeDocument/2006/relationships/hyperlink" Target="https://en.wikipedia.org/wiki/Minnesota" TargetMode="External"/><Relationship Id="rId2711" Type="http://schemas.openxmlformats.org/officeDocument/2006/relationships/hyperlink" Target="https://en.wikipedia.org/wiki/Le_Sueur_County,_Minnesota" TargetMode="External"/><Relationship Id="rId2712" Type="http://schemas.openxmlformats.org/officeDocument/2006/relationships/hyperlink" Target="https://en.wikipedia.org/wiki/Minnesota" TargetMode="External"/><Relationship Id="rId2713" Type="http://schemas.openxmlformats.org/officeDocument/2006/relationships/hyperlink" Target="https://en.wikipedia.org/wiki/Lincoln_County,_Minnesota" TargetMode="External"/><Relationship Id="rId2714" Type="http://schemas.openxmlformats.org/officeDocument/2006/relationships/hyperlink" Target="https://en.wikipedia.org/wiki/Minnesota" TargetMode="External"/><Relationship Id="rId2715" Type="http://schemas.openxmlformats.org/officeDocument/2006/relationships/hyperlink" Target="https://en.wikipedia.org/wiki/Lyon_County,_Minnesota" TargetMode="External"/><Relationship Id="rId2716" Type="http://schemas.openxmlformats.org/officeDocument/2006/relationships/hyperlink" Target="https://en.wikipedia.org/wiki/Minnesota" TargetMode="External"/><Relationship Id="rId2717" Type="http://schemas.openxmlformats.org/officeDocument/2006/relationships/hyperlink" Target="https://en.wikipedia.org/wiki/McLeod_County,_Minnesota" TargetMode="External"/><Relationship Id="rId2718" Type="http://schemas.openxmlformats.org/officeDocument/2006/relationships/hyperlink" Target="https://en.wikipedia.org/wiki/Minnesota" TargetMode="External"/><Relationship Id="rId2719" Type="http://schemas.openxmlformats.org/officeDocument/2006/relationships/hyperlink" Target="https://en.wikipedia.org/wiki/Mahnomen_County,_Minnesota" TargetMode="External"/><Relationship Id="rId6260" Type="http://schemas.openxmlformats.org/officeDocument/2006/relationships/hyperlink" Target="https://en.wikipedia.org/wiki/Wyoming" TargetMode="External"/><Relationship Id="rId6263" Type="http://schemas.openxmlformats.org/officeDocument/2006/relationships/hyperlink" Target="https://en.wikipedia.org/wiki/Johnson_County,_Wyoming" TargetMode="External"/><Relationship Id="rId6264" Type="http://schemas.openxmlformats.org/officeDocument/2006/relationships/hyperlink" Target="https://en.wikipedia.org/wiki/Wyoming" TargetMode="External"/><Relationship Id="rId6261" Type="http://schemas.openxmlformats.org/officeDocument/2006/relationships/hyperlink" Target="https://en.wikipedia.org/wiki/Hot_Springs_County,_Wyoming" TargetMode="External"/><Relationship Id="rId6262" Type="http://schemas.openxmlformats.org/officeDocument/2006/relationships/hyperlink" Target="https://en.wikipedia.org/wiki/Wyoming" TargetMode="External"/><Relationship Id="rId6267" Type="http://schemas.openxmlformats.org/officeDocument/2006/relationships/hyperlink" Target="https://en.wikipedia.org/wiki/Lincoln_County,_Wyoming" TargetMode="External"/><Relationship Id="rId6268" Type="http://schemas.openxmlformats.org/officeDocument/2006/relationships/hyperlink" Target="https://en.wikipedia.org/wiki/Wyoming" TargetMode="External"/><Relationship Id="rId6265" Type="http://schemas.openxmlformats.org/officeDocument/2006/relationships/hyperlink" Target="https://en.wikipedia.org/wiki/Laramie_County,_Wyoming" TargetMode="External"/><Relationship Id="rId6266" Type="http://schemas.openxmlformats.org/officeDocument/2006/relationships/hyperlink" Target="https://en.wikipedia.org/wiki/Wyoming" TargetMode="External"/><Relationship Id="rId6269" Type="http://schemas.openxmlformats.org/officeDocument/2006/relationships/hyperlink" Target="https://en.wikipedia.org/wiki/Natrona_County,_Wyoming" TargetMode="External"/><Relationship Id="rId6252" Type="http://schemas.openxmlformats.org/officeDocument/2006/relationships/hyperlink" Target="https://en.wikipedia.org/wiki/Wyoming" TargetMode="External"/><Relationship Id="rId6253" Type="http://schemas.openxmlformats.org/officeDocument/2006/relationships/hyperlink" Target="https://en.wikipedia.org/wiki/Converse_County,_Wyoming" TargetMode="External"/><Relationship Id="rId6250" Type="http://schemas.openxmlformats.org/officeDocument/2006/relationships/hyperlink" Target="https://en.wikipedia.org/wiki/Wyoming" TargetMode="External"/><Relationship Id="rId6251" Type="http://schemas.openxmlformats.org/officeDocument/2006/relationships/hyperlink" Target="https://en.wikipedia.org/wiki/Carbon_County,_Wyoming" TargetMode="External"/><Relationship Id="rId6256" Type="http://schemas.openxmlformats.org/officeDocument/2006/relationships/hyperlink" Target="https://en.wikipedia.org/wiki/Wyoming" TargetMode="External"/><Relationship Id="rId6257" Type="http://schemas.openxmlformats.org/officeDocument/2006/relationships/hyperlink" Target="https://en.wikipedia.org/wiki/Fremont_County,_Wyoming" TargetMode="External"/><Relationship Id="rId6254" Type="http://schemas.openxmlformats.org/officeDocument/2006/relationships/hyperlink" Target="https://en.wikipedia.org/wiki/Wyoming" TargetMode="External"/><Relationship Id="rId6255" Type="http://schemas.openxmlformats.org/officeDocument/2006/relationships/hyperlink" Target="https://en.wikipedia.org/wiki/Crook_County,_Wyoming" TargetMode="External"/><Relationship Id="rId6258" Type="http://schemas.openxmlformats.org/officeDocument/2006/relationships/hyperlink" Target="https://en.wikipedia.org/wiki/Wyoming" TargetMode="External"/><Relationship Id="rId6259" Type="http://schemas.openxmlformats.org/officeDocument/2006/relationships/hyperlink" Target="https://en.wikipedia.org/wiki/Goshen_County,_Wyoming" TargetMode="External"/><Relationship Id="rId6281" Type="http://schemas.openxmlformats.org/officeDocument/2006/relationships/hyperlink" Target="https://en.wikipedia.org/wiki/Sweetwater_County,_Wyoming" TargetMode="External"/><Relationship Id="rId6282" Type="http://schemas.openxmlformats.org/officeDocument/2006/relationships/hyperlink" Target="https://en.wikipedia.org/wiki/Wyoming" TargetMode="External"/><Relationship Id="rId6280" Type="http://schemas.openxmlformats.org/officeDocument/2006/relationships/hyperlink" Target="https://en.wikipedia.org/wiki/Wyoming" TargetMode="External"/><Relationship Id="rId6285" Type="http://schemas.openxmlformats.org/officeDocument/2006/relationships/hyperlink" Target="https://en.wikipedia.org/wiki/Uinta_County,_Wyoming" TargetMode="External"/><Relationship Id="rId6286" Type="http://schemas.openxmlformats.org/officeDocument/2006/relationships/hyperlink" Target="https://en.wikipedia.org/wiki/Wyoming" TargetMode="External"/><Relationship Id="rId6283" Type="http://schemas.openxmlformats.org/officeDocument/2006/relationships/hyperlink" Target="https://en.wikipedia.org/wiki/Teton_County,_Wyoming" TargetMode="External"/><Relationship Id="rId6284" Type="http://schemas.openxmlformats.org/officeDocument/2006/relationships/hyperlink" Target="https://en.wikipedia.org/wiki/Wyoming" TargetMode="External"/><Relationship Id="rId6289" Type="http://schemas.openxmlformats.org/officeDocument/2006/relationships/hyperlink" Target="https://en.wikipedia.org/wiki/Weston_County,_Wyoming" TargetMode="External"/><Relationship Id="rId6287" Type="http://schemas.openxmlformats.org/officeDocument/2006/relationships/hyperlink" Target="https://en.wikipedia.org/wiki/Washakie_County,_Wyoming" TargetMode="External"/><Relationship Id="rId6288" Type="http://schemas.openxmlformats.org/officeDocument/2006/relationships/hyperlink" Target="https://en.wikipedia.org/wiki/Wyoming" TargetMode="External"/><Relationship Id="rId6270" Type="http://schemas.openxmlformats.org/officeDocument/2006/relationships/hyperlink" Target="https://en.wikipedia.org/wiki/Wyoming" TargetMode="External"/><Relationship Id="rId6271" Type="http://schemas.openxmlformats.org/officeDocument/2006/relationships/hyperlink" Target="https://en.wikipedia.org/wiki/Niobrara_County,_Wyoming" TargetMode="External"/><Relationship Id="rId6274" Type="http://schemas.openxmlformats.org/officeDocument/2006/relationships/hyperlink" Target="https://en.wikipedia.org/wiki/Wyoming" TargetMode="External"/><Relationship Id="rId6275" Type="http://schemas.openxmlformats.org/officeDocument/2006/relationships/hyperlink" Target="https://en.wikipedia.org/wiki/Platte_County,_Wyoming" TargetMode="External"/><Relationship Id="rId6272" Type="http://schemas.openxmlformats.org/officeDocument/2006/relationships/hyperlink" Target="https://en.wikipedia.org/wiki/Wyoming" TargetMode="External"/><Relationship Id="rId6273" Type="http://schemas.openxmlformats.org/officeDocument/2006/relationships/hyperlink" Target="https://en.wikipedia.org/wiki/Park_County,_Wyoming" TargetMode="External"/><Relationship Id="rId6278" Type="http://schemas.openxmlformats.org/officeDocument/2006/relationships/hyperlink" Target="https://en.wikipedia.org/wiki/Wyoming" TargetMode="External"/><Relationship Id="rId6279" Type="http://schemas.openxmlformats.org/officeDocument/2006/relationships/hyperlink" Target="https://en.wikipedia.org/wiki/Sublette_County,_Wyoming" TargetMode="External"/><Relationship Id="rId6276" Type="http://schemas.openxmlformats.org/officeDocument/2006/relationships/hyperlink" Target="https://en.wikipedia.org/wiki/Wyoming" TargetMode="External"/><Relationship Id="rId6277" Type="http://schemas.openxmlformats.org/officeDocument/2006/relationships/hyperlink" Target="https://en.wikipedia.org/wiki/Sheridan_County,_Wyoming" TargetMode="External"/><Relationship Id="rId1455" Type="http://schemas.openxmlformats.org/officeDocument/2006/relationships/hyperlink" Target="https://en.wikipedia.org/wiki/Hamilton_County,_Indiana" TargetMode="External"/><Relationship Id="rId2786" Type="http://schemas.openxmlformats.org/officeDocument/2006/relationships/hyperlink" Target="https://en.wikipedia.org/wiki/Minnesota" TargetMode="External"/><Relationship Id="rId1456" Type="http://schemas.openxmlformats.org/officeDocument/2006/relationships/hyperlink" Target="https://en.wikipedia.org/wiki/Indiana" TargetMode="External"/><Relationship Id="rId2787" Type="http://schemas.openxmlformats.org/officeDocument/2006/relationships/hyperlink" Target="https://en.wikipedia.org/wiki/Traverse_County,_Minnesota" TargetMode="External"/><Relationship Id="rId1457" Type="http://schemas.openxmlformats.org/officeDocument/2006/relationships/hyperlink" Target="https://en.wikipedia.org/wiki/Hancock_County,_Indiana" TargetMode="External"/><Relationship Id="rId2788" Type="http://schemas.openxmlformats.org/officeDocument/2006/relationships/hyperlink" Target="https://en.wikipedia.org/wiki/Minnesota" TargetMode="External"/><Relationship Id="rId1458" Type="http://schemas.openxmlformats.org/officeDocument/2006/relationships/hyperlink" Target="https://en.wikipedia.org/wiki/Indiana" TargetMode="External"/><Relationship Id="rId2789" Type="http://schemas.openxmlformats.org/officeDocument/2006/relationships/hyperlink" Target="https://en.wikipedia.org/wiki/Wabasha_County,_Minnesota" TargetMode="External"/><Relationship Id="rId1459" Type="http://schemas.openxmlformats.org/officeDocument/2006/relationships/hyperlink" Target="https://en.wikipedia.org/wiki/Harrison_County,_Indiana" TargetMode="External"/><Relationship Id="rId629" Type="http://schemas.openxmlformats.org/officeDocument/2006/relationships/hyperlink" Target="https://en.wikipedia.org/wiki/New_Haven_County,_Connecticut" TargetMode="External"/><Relationship Id="rId624" Type="http://schemas.openxmlformats.org/officeDocument/2006/relationships/hyperlink" Target="https://en.wikipedia.org/wiki/Connecticut" TargetMode="External"/><Relationship Id="rId623" Type="http://schemas.openxmlformats.org/officeDocument/2006/relationships/hyperlink" Target="https://en.wikipedia.org/wiki/Hartford_County,_Connecticut" TargetMode="External"/><Relationship Id="rId622" Type="http://schemas.openxmlformats.org/officeDocument/2006/relationships/hyperlink" Target="https://en.wikipedia.org/wiki/Connecticut" TargetMode="External"/><Relationship Id="rId621" Type="http://schemas.openxmlformats.org/officeDocument/2006/relationships/hyperlink" Target="https://en.wikipedia.org/wiki/Fairfield_County,_Connecticut" TargetMode="External"/><Relationship Id="rId628" Type="http://schemas.openxmlformats.org/officeDocument/2006/relationships/hyperlink" Target="https://en.wikipedia.org/wiki/Connecticut" TargetMode="External"/><Relationship Id="rId627" Type="http://schemas.openxmlformats.org/officeDocument/2006/relationships/hyperlink" Target="https://en.wikipedia.org/wiki/Middlesex_County,_Connecticut" TargetMode="External"/><Relationship Id="rId626" Type="http://schemas.openxmlformats.org/officeDocument/2006/relationships/hyperlink" Target="https://en.wikipedia.org/wiki/Connecticut" TargetMode="External"/><Relationship Id="rId625" Type="http://schemas.openxmlformats.org/officeDocument/2006/relationships/hyperlink" Target="https://en.wikipedia.org/wiki/Litchfield_County,_Connecticut" TargetMode="External"/><Relationship Id="rId2780" Type="http://schemas.openxmlformats.org/officeDocument/2006/relationships/hyperlink" Target="https://en.wikipedia.org/wiki/Minnesota" TargetMode="External"/><Relationship Id="rId1450" Type="http://schemas.openxmlformats.org/officeDocument/2006/relationships/hyperlink" Target="https://en.wikipedia.org/wiki/Indiana" TargetMode="External"/><Relationship Id="rId2781" Type="http://schemas.openxmlformats.org/officeDocument/2006/relationships/hyperlink" Target="https://en.wikipedia.org/wiki/Stevens_County,_Minnesota" TargetMode="External"/><Relationship Id="rId620" Type="http://schemas.openxmlformats.org/officeDocument/2006/relationships/hyperlink" Target="https://en.wikipedia.org/wiki/Connecticut" TargetMode="External"/><Relationship Id="rId1451" Type="http://schemas.openxmlformats.org/officeDocument/2006/relationships/hyperlink" Target="https://en.wikipedia.org/wiki/Grant_County,_Indiana" TargetMode="External"/><Relationship Id="rId2782" Type="http://schemas.openxmlformats.org/officeDocument/2006/relationships/hyperlink" Target="https://en.wikipedia.org/wiki/Minnesota" TargetMode="External"/><Relationship Id="rId1452" Type="http://schemas.openxmlformats.org/officeDocument/2006/relationships/hyperlink" Target="https://en.wikipedia.org/wiki/Indiana" TargetMode="External"/><Relationship Id="rId2783" Type="http://schemas.openxmlformats.org/officeDocument/2006/relationships/hyperlink" Target="https://en.wikipedia.org/wiki/Swift_County,_Minnesota" TargetMode="External"/><Relationship Id="rId1453" Type="http://schemas.openxmlformats.org/officeDocument/2006/relationships/hyperlink" Target="https://en.wikipedia.org/wiki/Greene_County,_Indiana" TargetMode="External"/><Relationship Id="rId2784" Type="http://schemas.openxmlformats.org/officeDocument/2006/relationships/hyperlink" Target="https://en.wikipedia.org/wiki/Minnesota" TargetMode="External"/><Relationship Id="rId1454" Type="http://schemas.openxmlformats.org/officeDocument/2006/relationships/hyperlink" Target="https://en.wikipedia.org/wiki/Indiana" TargetMode="External"/><Relationship Id="rId2785" Type="http://schemas.openxmlformats.org/officeDocument/2006/relationships/hyperlink" Target="https://en.wikipedia.org/wiki/Todd_County,_Minnesota" TargetMode="External"/><Relationship Id="rId1444" Type="http://schemas.openxmlformats.org/officeDocument/2006/relationships/hyperlink" Target="https://en.wikipedia.org/wiki/Indiana" TargetMode="External"/><Relationship Id="rId2775" Type="http://schemas.openxmlformats.org/officeDocument/2006/relationships/hyperlink" Target="https://en.wikipedia.org/wiki/Sibley_County,_Minnesota" TargetMode="External"/><Relationship Id="rId1445" Type="http://schemas.openxmlformats.org/officeDocument/2006/relationships/hyperlink" Target="https://en.wikipedia.org/wiki/Franklin_County,_Indiana" TargetMode="External"/><Relationship Id="rId2776" Type="http://schemas.openxmlformats.org/officeDocument/2006/relationships/hyperlink" Target="https://en.wikipedia.org/wiki/Minnesota" TargetMode="External"/><Relationship Id="rId1446" Type="http://schemas.openxmlformats.org/officeDocument/2006/relationships/hyperlink" Target="https://en.wikipedia.org/wiki/Indiana" TargetMode="External"/><Relationship Id="rId2777" Type="http://schemas.openxmlformats.org/officeDocument/2006/relationships/hyperlink" Target="https://en.wikipedia.org/wiki/Stearns_County,_Minnesota" TargetMode="External"/><Relationship Id="rId1447" Type="http://schemas.openxmlformats.org/officeDocument/2006/relationships/hyperlink" Target="https://en.wikipedia.org/wiki/Fulton_County,_Indiana" TargetMode="External"/><Relationship Id="rId2778" Type="http://schemas.openxmlformats.org/officeDocument/2006/relationships/hyperlink" Target="https://en.wikipedia.org/wiki/Minnesota" TargetMode="External"/><Relationship Id="rId1448" Type="http://schemas.openxmlformats.org/officeDocument/2006/relationships/hyperlink" Target="https://en.wikipedia.org/wiki/Indiana" TargetMode="External"/><Relationship Id="rId2779" Type="http://schemas.openxmlformats.org/officeDocument/2006/relationships/hyperlink" Target="https://en.wikipedia.org/wiki/Steele_County,_Minnesota" TargetMode="External"/><Relationship Id="rId1449" Type="http://schemas.openxmlformats.org/officeDocument/2006/relationships/hyperlink" Target="https://en.wikipedia.org/wiki/Gibson_County,_Indiana" TargetMode="External"/><Relationship Id="rId619" Type="http://schemas.openxmlformats.org/officeDocument/2006/relationships/hyperlink" Target="https://en.wikipedia.org/wiki/Yuma_County,_Colorado" TargetMode="External"/><Relationship Id="rId618" Type="http://schemas.openxmlformats.org/officeDocument/2006/relationships/hyperlink" Target="https://en.wikipedia.org/wiki/Colorado" TargetMode="External"/><Relationship Id="rId613" Type="http://schemas.openxmlformats.org/officeDocument/2006/relationships/hyperlink" Target="https://en.wikipedia.org/wiki/Teller_County,_Colorado" TargetMode="External"/><Relationship Id="rId612" Type="http://schemas.openxmlformats.org/officeDocument/2006/relationships/hyperlink" Target="https://en.wikipedia.org/wiki/Colorado" TargetMode="External"/><Relationship Id="rId611" Type="http://schemas.openxmlformats.org/officeDocument/2006/relationships/hyperlink" Target="https://en.wikipedia.org/wiki/Summit_County,_Colorado" TargetMode="External"/><Relationship Id="rId610" Type="http://schemas.openxmlformats.org/officeDocument/2006/relationships/hyperlink" Target="https://en.wikipedia.org/wiki/Colorado" TargetMode="External"/><Relationship Id="rId617" Type="http://schemas.openxmlformats.org/officeDocument/2006/relationships/hyperlink" Target="https://en.wikipedia.org/wiki/Weld_County,_Colorado" TargetMode="External"/><Relationship Id="rId616" Type="http://schemas.openxmlformats.org/officeDocument/2006/relationships/hyperlink" Target="https://en.wikipedia.org/wiki/Colorado" TargetMode="External"/><Relationship Id="rId615" Type="http://schemas.openxmlformats.org/officeDocument/2006/relationships/hyperlink" Target="https://en.wikipedia.org/wiki/Washington_County,_Colorado" TargetMode="External"/><Relationship Id="rId614" Type="http://schemas.openxmlformats.org/officeDocument/2006/relationships/hyperlink" Target="https://en.wikipedia.org/wiki/Colorado" TargetMode="External"/><Relationship Id="rId2770" Type="http://schemas.openxmlformats.org/officeDocument/2006/relationships/hyperlink" Target="https://en.wikipedia.org/wiki/Minnesota" TargetMode="External"/><Relationship Id="rId1440" Type="http://schemas.openxmlformats.org/officeDocument/2006/relationships/hyperlink" Target="https://en.wikipedia.org/wiki/Indiana" TargetMode="External"/><Relationship Id="rId2771" Type="http://schemas.openxmlformats.org/officeDocument/2006/relationships/hyperlink" Target="https://en.wikipedia.org/wiki/Scott_County,_Minnesota" TargetMode="External"/><Relationship Id="rId1441" Type="http://schemas.openxmlformats.org/officeDocument/2006/relationships/hyperlink" Target="https://en.wikipedia.org/wiki/Floyd_County,_Indiana" TargetMode="External"/><Relationship Id="rId2772" Type="http://schemas.openxmlformats.org/officeDocument/2006/relationships/hyperlink" Target="https://en.wikipedia.org/wiki/Minnesota" TargetMode="External"/><Relationship Id="rId1442" Type="http://schemas.openxmlformats.org/officeDocument/2006/relationships/hyperlink" Target="https://en.wikipedia.org/wiki/Indiana" TargetMode="External"/><Relationship Id="rId2773" Type="http://schemas.openxmlformats.org/officeDocument/2006/relationships/hyperlink" Target="https://en.wikipedia.org/wiki/Sherburne_County,_Minnesota" TargetMode="External"/><Relationship Id="rId1443" Type="http://schemas.openxmlformats.org/officeDocument/2006/relationships/hyperlink" Target="https://en.wikipedia.org/wiki/Fountain_County,_Indiana" TargetMode="External"/><Relationship Id="rId2774" Type="http://schemas.openxmlformats.org/officeDocument/2006/relationships/hyperlink" Target="https://en.wikipedia.org/wiki/Minnesota" TargetMode="External"/><Relationship Id="rId1477" Type="http://schemas.openxmlformats.org/officeDocument/2006/relationships/hyperlink" Target="https://en.wikipedia.org/wiki/Jennings_County,_Indiana" TargetMode="External"/><Relationship Id="rId1478" Type="http://schemas.openxmlformats.org/officeDocument/2006/relationships/hyperlink" Target="https://en.wikipedia.org/wiki/Indiana" TargetMode="External"/><Relationship Id="rId1479" Type="http://schemas.openxmlformats.org/officeDocument/2006/relationships/hyperlink" Target="https://en.wikipedia.org/wiki/Johnson_County,_Indiana" TargetMode="External"/><Relationship Id="rId646" Type="http://schemas.openxmlformats.org/officeDocument/2006/relationships/hyperlink" Target="https://en.wikipedia.org/wiki/Florida" TargetMode="External"/><Relationship Id="rId645" Type="http://schemas.openxmlformats.org/officeDocument/2006/relationships/hyperlink" Target="https://en.wikipedia.org/wiki/Alachua_County,_Florida" TargetMode="External"/><Relationship Id="rId644" Type="http://schemas.openxmlformats.org/officeDocument/2006/relationships/hyperlink" Target="https://en.wikipedia.org/wiki/Florida" TargetMode="External"/><Relationship Id="rId643" Type="http://schemas.openxmlformats.org/officeDocument/2006/relationships/hyperlink" Target="https://en.wikipedia.org/wiki/District_of_Columbia" TargetMode="External"/><Relationship Id="rId649" Type="http://schemas.openxmlformats.org/officeDocument/2006/relationships/hyperlink" Target="https://en.wikipedia.org/wiki/Bay_County,_Florida" TargetMode="External"/><Relationship Id="rId648" Type="http://schemas.openxmlformats.org/officeDocument/2006/relationships/hyperlink" Target="https://en.wikipedia.org/wiki/Florida" TargetMode="External"/><Relationship Id="rId647" Type="http://schemas.openxmlformats.org/officeDocument/2006/relationships/hyperlink" Target="https://en.wikipedia.org/wiki/Baker_County,_Florida" TargetMode="External"/><Relationship Id="rId1470" Type="http://schemas.openxmlformats.org/officeDocument/2006/relationships/hyperlink" Target="https://en.wikipedia.org/wiki/Indiana" TargetMode="External"/><Relationship Id="rId1471" Type="http://schemas.openxmlformats.org/officeDocument/2006/relationships/hyperlink" Target="https://en.wikipedia.org/wiki/Jasper_County,_Indiana" TargetMode="External"/><Relationship Id="rId1472" Type="http://schemas.openxmlformats.org/officeDocument/2006/relationships/hyperlink" Target="https://en.wikipedia.org/wiki/Indiana" TargetMode="External"/><Relationship Id="rId642" Type="http://schemas.openxmlformats.org/officeDocument/2006/relationships/hyperlink" Target="https://en.wikipedia.org/wiki/District_of_Columbia" TargetMode="External"/><Relationship Id="rId1473" Type="http://schemas.openxmlformats.org/officeDocument/2006/relationships/hyperlink" Target="https://en.wikipedia.org/wiki/Jay_County,_Indiana" TargetMode="External"/><Relationship Id="rId641" Type="http://schemas.openxmlformats.org/officeDocument/2006/relationships/hyperlink" Target="https://en.wikipedia.org/wiki/Sussex_County,_Delaware" TargetMode="External"/><Relationship Id="rId1474" Type="http://schemas.openxmlformats.org/officeDocument/2006/relationships/hyperlink" Target="https://en.wikipedia.org/wiki/Indiana" TargetMode="External"/><Relationship Id="rId640" Type="http://schemas.openxmlformats.org/officeDocument/2006/relationships/hyperlink" Target="https://en.wikipedia.org/wiki/Delaware" TargetMode="External"/><Relationship Id="rId1475" Type="http://schemas.openxmlformats.org/officeDocument/2006/relationships/hyperlink" Target="https://en.wikipedia.org/wiki/Jefferson_County,_Indiana" TargetMode="External"/><Relationship Id="rId1476" Type="http://schemas.openxmlformats.org/officeDocument/2006/relationships/hyperlink" Target="https://en.wikipedia.org/wiki/Indiana" TargetMode="External"/><Relationship Id="rId1466" Type="http://schemas.openxmlformats.org/officeDocument/2006/relationships/hyperlink" Target="https://en.wikipedia.org/wiki/Indiana" TargetMode="External"/><Relationship Id="rId2797" Type="http://schemas.openxmlformats.org/officeDocument/2006/relationships/hyperlink" Target="https://en.wikipedia.org/wiki/Watonwan_County,_Minnesota" TargetMode="External"/><Relationship Id="rId1467" Type="http://schemas.openxmlformats.org/officeDocument/2006/relationships/hyperlink" Target="https://en.wikipedia.org/wiki/Huntington_County,_Indiana" TargetMode="External"/><Relationship Id="rId2798" Type="http://schemas.openxmlformats.org/officeDocument/2006/relationships/hyperlink" Target="https://en.wikipedia.org/wiki/Minnesota" TargetMode="External"/><Relationship Id="rId1468" Type="http://schemas.openxmlformats.org/officeDocument/2006/relationships/hyperlink" Target="https://en.wikipedia.org/wiki/Indiana" TargetMode="External"/><Relationship Id="rId2799" Type="http://schemas.openxmlformats.org/officeDocument/2006/relationships/hyperlink" Target="https://en.wikipedia.org/wiki/Wilkin_County,_Minnesota" TargetMode="External"/><Relationship Id="rId1469" Type="http://schemas.openxmlformats.org/officeDocument/2006/relationships/hyperlink" Target="https://en.wikipedia.org/wiki/Jackson_County,_Indiana" TargetMode="External"/><Relationship Id="rId635" Type="http://schemas.openxmlformats.org/officeDocument/2006/relationships/hyperlink" Target="https://en.wikipedia.org/wiki/Windham_County,_Connecticut" TargetMode="External"/><Relationship Id="rId634" Type="http://schemas.openxmlformats.org/officeDocument/2006/relationships/hyperlink" Target="https://en.wikipedia.org/wiki/Connecticut" TargetMode="External"/><Relationship Id="rId633" Type="http://schemas.openxmlformats.org/officeDocument/2006/relationships/hyperlink" Target="https://en.wikipedia.org/wiki/Tolland_County,_Connecticut" TargetMode="External"/><Relationship Id="rId632" Type="http://schemas.openxmlformats.org/officeDocument/2006/relationships/hyperlink" Target="https://en.wikipedia.org/wiki/Connecticut" TargetMode="External"/><Relationship Id="rId639" Type="http://schemas.openxmlformats.org/officeDocument/2006/relationships/hyperlink" Target="https://en.wikipedia.org/wiki/New_Castle_County,_Delaware" TargetMode="External"/><Relationship Id="rId638" Type="http://schemas.openxmlformats.org/officeDocument/2006/relationships/hyperlink" Target="https://en.wikipedia.org/wiki/Delaware" TargetMode="External"/><Relationship Id="rId637" Type="http://schemas.openxmlformats.org/officeDocument/2006/relationships/hyperlink" Target="https://en.wikipedia.org/wiki/Kent_County,_Delaware" TargetMode="External"/><Relationship Id="rId636" Type="http://schemas.openxmlformats.org/officeDocument/2006/relationships/hyperlink" Target="https://en.wikipedia.org/wiki/Delaware" TargetMode="External"/><Relationship Id="rId2790" Type="http://schemas.openxmlformats.org/officeDocument/2006/relationships/hyperlink" Target="https://en.wikipedia.org/wiki/Minnesota" TargetMode="External"/><Relationship Id="rId1460" Type="http://schemas.openxmlformats.org/officeDocument/2006/relationships/hyperlink" Target="https://en.wikipedia.org/wiki/Indiana" TargetMode="External"/><Relationship Id="rId2791" Type="http://schemas.openxmlformats.org/officeDocument/2006/relationships/hyperlink" Target="https://en.wikipedia.org/wiki/Wadena_County,_Minnesota" TargetMode="External"/><Relationship Id="rId1461" Type="http://schemas.openxmlformats.org/officeDocument/2006/relationships/hyperlink" Target="https://en.wikipedia.org/wiki/Hendricks_County,_Indiana" TargetMode="External"/><Relationship Id="rId2792" Type="http://schemas.openxmlformats.org/officeDocument/2006/relationships/hyperlink" Target="https://en.wikipedia.org/wiki/Minnesota" TargetMode="External"/><Relationship Id="rId631" Type="http://schemas.openxmlformats.org/officeDocument/2006/relationships/hyperlink" Target="https://en.wikipedia.org/wiki/New_London_County,_Connecticut" TargetMode="External"/><Relationship Id="rId1462" Type="http://schemas.openxmlformats.org/officeDocument/2006/relationships/hyperlink" Target="https://en.wikipedia.org/wiki/Indiana" TargetMode="External"/><Relationship Id="rId2793" Type="http://schemas.openxmlformats.org/officeDocument/2006/relationships/hyperlink" Target="https://en.wikipedia.org/wiki/Waseca_County,_Minnesota" TargetMode="External"/><Relationship Id="rId630" Type="http://schemas.openxmlformats.org/officeDocument/2006/relationships/hyperlink" Target="https://en.wikipedia.org/wiki/Connecticut" TargetMode="External"/><Relationship Id="rId1463" Type="http://schemas.openxmlformats.org/officeDocument/2006/relationships/hyperlink" Target="https://en.wikipedia.org/wiki/Henry_County,_Indiana" TargetMode="External"/><Relationship Id="rId2794" Type="http://schemas.openxmlformats.org/officeDocument/2006/relationships/hyperlink" Target="https://en.wikipedia.org/wiki/Minnesota" TargetMode="External"/><Relationship Id="rId1464" Type="http://schemas.openxmlformats.org/officeDocument/2006/relationships/hyperlink" Target="https://en.wikipedia.org/wiki/Indiana" TargetMode="External"/><Relationship Id="rId2795" Type="http://schemas.openxmlformats.org/officeDocument/2006/relationships/hyperlink" Target="https://en.wikipedia.org/wiki/Washington_County,_Minnesota" TargetMode="External"/><Relationship Id="rId1465" Type="http://schemas.openxmlformats.org/officeDocument/2006/relationships/hyperlink" Target="https://en.wikipedia.org/wiki/Howard_County,_Indiana" TargetMode="External"/><Relationship Id="rId2796" Type="http://schemas.openxmlformats.org/officeDocument/2006/relationships/hyperlink" Target="https://en.wikipedia.org/wiki/Minnesota" TargetMode="External"/><Relationship Id="rId1411" Type="http://schemas.openxmlformats.org/officeDocument/2006/relationships/hyperlink" Target="https://en.wikipedia.org/wiki/Brown_County,_Indiana" TargetMode="External"/><Relationship Id="rId2742" Type="http://schemas.openxmlformats.org/officeDocument/2006/relationships/hyperlink" Target="https://en.wikipedia.org/wiki/Minnesota" TargetMode="External"/><Relationship Id="rId1412" Type="http://schemas.openxmlformats.org/officeDocument/2006/relationships/hyperlink" Target="https://en.wikipedia.org/wiki/Indiana" TargetMode="External"/><Relationship Id="rId2743" Type="http://schemas.openxmlformats.org/officeDocument/2006/relationships/hyperlink" Target="https://en.wikipedia.org/wiki/Otter_Tail_County,_Minnesota" TargetMode="External"/><Relationship Id="rId1413" Type="http://schemas.openxmlformats.org/officeDocument/2006/relationships/hyperlink" Target="https://en.wikipedia.org/wiki/Carroll_County,_Indiana" TargetMode="External"/><Relationship Id="rId2744" Type="http://schemas.openxmlformats.org/officeDocument/2006/relationships/hyperlink" Target="https://en.wikipedia.org/wiki/Minnesota" TargetMode="External"/><Relationship Id="rId1414" Type="http://schemas.openxmlformats.org/officeDocument/2006/relationships/hyperlink" Target="https://en.wikipedia.org/wiki/Indiana" TargetMode="External"/><Relationship Id="rId2745" Type="http://schemas.openxmlformats.org/officeDocument/2006/relationships/hyperlink" Target="https://en.wikipedia.org/wiki/Pennington_County,_Minnesota" TargetMode="External"/><Relationship Id="rId1415" Type="http://schemas.openxmlformats.org/officeDocument/2006/relationships/hyperlink" Target="https://en.wikipedia.org/wiki/Cass_County,_Indiana" TargetMode="External"/><Relationship Id="rId2746" Type="http://schemas.openxmlformats.org/officeDocument/2006/relationships/hyperlink" Target="https://en.wikipedia.org/wiki/Minnesota" TargetMode="External"/><Relationship Id="rId1416" Type="http://schemas.openxmlformats.org/officeDocument/2006/relationships/hyperlink" Target="https://en.wikipedia.org/wiki/Indiana" TargetMode="External"/><Relationship Id="rId2747" Type="http://schemas.openxmlformats.org/officeDocument/2006/relationships/hyperlink" Target="https://en.wikipedia.org/wiki/Pine_County,_Minnesota" TargetMode="External"/><Relationship Id="rId1417" Type="http://schemas.openxmlformats.org/officeDocument/2006/relationships/hyperlink" Target="https://en.wikipedia.org/wiki/Clark_County,_Indiana" TargetMode="External"/><Relationship Id="rId2748" Type="http://schemas.openxmlformats.org/officeDocument/2006/relationships/hyperlink" Target="https://en.wikipedia.org/wiki/Minnesota" TargetMode="External"/><Relationship Id="rId1418" Type="http://schemas.openxmlformats.org/officeDocument/2006/relationships/hyperlink" Target="https://en.wikipedia.org/wiki/Indiana" TargetMode="External"/><Relationship Id="rId2749" Type="http://schemas.openxmlformats.org/officeDocument/2006/relationships/hyperlink" Target="https://en.wikipedia.org/wiki/Pipestone_County,_Minnesota" TargetMode="External"/><Relationship Id="rId1419" Type="http://schemas.openxmlformats.org/officeDocument/2006/relationships/hyperlink" Target="https://en.wikipedia.org/wiki/Clay_County,_Indiana" TargetMode="External"/><Relationship Id="rId2740" Type="http://schemas.openxmlformats.org/officeDocument/2006/relationships/hyperlink" Target="https://en.wikipedia.org/wiki/Minnesota" TargetMode="External"/><Relationship Id="rId1410" Type="http://schemas.openxmlformats.org/officeDocument/2006/relationships/hyperlink" Target="https://en.wikipedia.org/wiki/Indiana" TargetMode="External"/><Relationship Id="rId2741" Type="http://schemas.openxmlformats.org/officeDocument/2006/relationships/hyperlink" Target="https://en.wikipedia.org/wiki/Olmsted_County,_Minnesota" TargetMode="External"/><Relationship Id="rId1400" Type="http://schemas.openxmlformats.org/officeDocument/2006/relationships/hyperlink" Target="https://en.wikipedia.org/wiki/Indiana" TargetMode="External"/><Relationship Id="rId2731" Type="http://schemas.openxmlformats.org/officeDocument/2006/relationships/hyperlink" Target="https://en.wikipedia.org/wiki/Mower_County,_Minnesota" TargetMode="External"/><Relationship Id="rId1401" Type="http://schemas.openxmlformats.org/officeDocument/2006/relationships/hyperlink" Target="https://en.wikipedia.org/wiki/Allen_County,_Indiana" TargetMode="External"/><Relationship Id="rId2732" Type="http://schemas.openxmlformats.org/officeDocument/2006/relationships/hyperlink" Target="https://en.wikipedia.org/wiki/Minnesota" TargetMode="External"/><Relationship Id="rId1402" Type="http://schemas.openxmlformats.org/officeDocument/2006/relationships/hyperlink" Target="https://en.wikipedia.org/wiki/Indiana" TargetMode="External"/><Relationship Id="rId2733" Type="http://schemas.openxmlformats.org/officeDocument/2006/relationships/hyperlink" Target="https://en.wikipedia.org/wiki/Murray_County,_Minnesota" TargetMode="External"/><Relationship Id="rId1403" Type="http://schemas.openxmlformats.org/officeDocument/2006/relationships/hyperlink" Target="https://en.wikipedia.org/wiki/Bartholomew_County,_Indiana" TargetMode="External"/><Relationship Id="rId2734" Type="http://schemas.openxmlformats.org/officeDocument/2006/relationships/hyperlink" Target="https://en.wikipedia.org/wiki/Minnesota" TargetMode="External"/><Relationship Id="rId1404" Type="http://schemas.openxmlformats.org/officeDocument/2006/relationships/hyperlink" Target="https://en.wikipedia.org/wiki/Indiana" TargetMode="External"/><Relationship Id="rId2735" Type="http://schemas.openxmlformats.org/officeDocument/2006/relationships/hyperlink" Target="https://en.wikipedia.org/wiki/Nicollet_County,_Minnesota" TargetMode="External"/><Relationship Id="rId1405" Type="http://schemas.openxmlformats.org/officeDocument/2006/relationships/hyperlink" Target="https://en.wikipedia.org/wiki/Benton_County,_Indiana" TargetMode="External"/><Relationship Id="rId2736" Type="http://schemas.openxmlformats.org/officeDocument/2006/relationships/hyperlink" Target="https://en.wikipedia.org/wiki/Minnesota" TargetMode="External"/><Relationship Id="rId1406" Type="http://schemas.openxmlformats.org/officeDocument/2006/relationships/hyperlink" Target="https://en.wikipedia.org/wiki/Indiana" TargetMode="External"/><Relationship Id="rId2737" Type="http://schemas.openxmlformats.org/officeDocument/2006/relationships/hyperlink" Target="https://en.wikipedia.org/wiki/Nobles_County,_Minnesota" TargetMode="External"/><Relationship Id="rId1407" Type="http://schemas.openxmlformats.org/officeDocument/2006/relationships/hyperlink" Target="https://en.wikipedia.org/wiki/Blackford_County,_Indiana" TargetMode="External"/><Relationship Id="rId2738" Type="http://schemas.openxmlformats.org/officeDocument/2006/relationships/hyperlink" Target="https://en.wikipedia.org/wiki/Minnesota" TargetMode="External"/><Relationship Id="rId1408" Type="http://schemas.openxmlformats.org/officeDocument/2006/relationships/hyperlink" Target="https://en.wikipedia.org/wiki/Indiana" TargetMode="External"/><Relationship Id="rId2739" Type="http://schemas.openxmlformats.org/officeDocument/2006/relationships/hyperlink" Target="https://en.wikipedia.org/wiki/Norman_County,_Minnesota" TargetMode="External"/><Relationship Id="rId1409" Type="http://schemas.openxmlformats.org/officeDocument/2006/relationships/hyperlink" Target="https://en.wikipedia.org/wiki/Boone_County,_Indiana" TargetMode="External"/><Relationship Id="rId2730" Type="http://schemas.openxmlformats.org/officeDocument/2006/relationships/hyperlink" Target="https://en.wikipedia.org/wiki/Minnesota" TargetMode="External"/><Relationship Id="rId1433" Type="http://schemas.openxmlformats.org/officeDocument/2006/relationships/hyperlink" Target="https://en.wikipedia.org/wiki/Delaware_County,_Indiana" TargetMode="External"/><Relationship Id="rId2764" Type="http://schemas.openxmlformats.org/officeDocument/2006/relationships/hyperlink" Target="https://en.wikipedia.org/wiki/Minnesota" TargetMode="External"/><Relationship Id="rId1434" Type="http://schemas.openxmlformats.org/officeDocument/2006/relationships/hyperlink" Target="https://en.wikipedia.org/wiki/Indiana" TargetMode="External"/><Relationship Id="rId2765" Type="http://schemas.openxmlformats.org/officeDocument/2006/relationships/hyperlink" Target="https://en.wikipedia.org/wiki/Rock_County,_Minnesota" TargetMode="External"/><Relationship Id="rId1435" Type="http://schemas.openxmlformats.org/officeDocument/2006/relationships/hyperlink" Target="https://en.wikipedia.org/wiki/Dubois_County,_Indiana" TargetMode="External"/><Relationship Id="rId2766" Type="http://schemas.openxmlformats.org/officeDocument/2006/relationships/hyperlink" Target="https://en.wikipedia.org/wiki/Minnesota" TargetMode="External"/><Relationship Id="rId1436" Type="http://schemas.openxmlformats.org/officeDocument/2006/relationships/hyperlink" Target="https://en.wikipedia.org/wiki/Indiana" TargetMode="External"/><Relationship Id="rId2767" Type="http://schemas.openxmlformats.org/officeDocument/2006/relationships/hyperlink" Target="https://en.wikipedia.org/wiki/Roseau_County,_Minnesota" TargetMode="External"/><Relationship Id="rId1437" Type="http://schemas.openxmlformats.org/officeDocument/2006/relationships/hyperlink" Target="https://en.wikipedia.org/wiki/Elkhart_County,_Indiana" TargetMode="External"/><Relationship Id="rId2768" Type="http://schemas.openxmlformats.org/officeDocument/2006/relationships/hyperlink" Target="https://en.wikipedia.org/wiki/Minnesota" TargetMode="External"/><Relationship Id="rId1438" Type="http://schemas.openxmlformats.org/officeDocument/2006/relationships/hyperlink" Target="https://en.wikipedia.org/wiki/Indiana" TargetMode="External"/><Relationship Id="rId2769" Type="http://schemas.openxmlformats.org/officeDocument/2006/relationships/hyperlink" Target="https://en.wikipedia.org/wiki/St._Louis_County,_Minnesota" TargetMode="External"/><Relationship Id="rId1439" Type="http://schemas.openxmlformats.org/officeDocument/2006/relationships/hyperlink" Target="https://en.wikipedia.org/wiki/Fayette_County,_Indiana" TargetMode="External"/><Relationship Id="rId609" Type="http://schemas.openxmlformats.org/officeDocument/2006/relationships/hyperlink" Target="https://en.wikipedia.org/wiki/Sedgwick_County,_Colorado" TargetMode="External"/><Relationship Id="rId608" Type="http://schemas.openxmlformats.org/officeDocument/2006/relationships/hyperlink" Target="https://en.wikipedia.org/wiki/Colorado" TargetMode="External"/><Relationship Id="rId607" Type="http://schemas.openxmlformats.org/officeDocument/2006/relationships/hyperlink" Target="https://en.wikipedia.org/wiki/San_Miguel_County,_Colorado" TargetMode="External"/><Relationship Id="rId602" Type="http://schemas.openxmlformats.org/officeDocument/2006/relationships/hyperlink" Target="https://en.wikipedia.org/wiki/Colorado" TargetMode="External"/><Relationship Id="rId601" Type="http://schemas.openxmlformats.org/officeDocument/2006/relationships/hyperlink" Target="https://en.wikipedia.org/wiki/Routt_County,_Colorado" TargetMode="External"/><Relationship Id="rId600" Type="http://schemas.openxmlformats.org/officeDocument/2006/relationships/hyperlink" Target="https://en.wikipedia.org/wiki/Colorado" TargetMode="External"/><Relationship Id="rId606" Type="http://schemas.openxmlformats.org/officeDocument/2006/relationships/hyperlink" Target="https://en.wikipedia.org/wiki/Colorado" TargetMode="External"/><Relationship Id="rId605" Type="http://schemas.openxmlformats.org/officeDocument/2006/relationships/hyperlink" Target="https://en.wikipedia.org/wiki/San_Juan_County,_Colorado" TargetMode="External"/><Relationship Id="rId604" Type="http://schemas.openxmlformats.org/officeDocument/2006/relationships/hyperlink" Target="https://en.wikipedia.org/wiki/Colorado" TargetMode="External"/><Relationship Id="rId603" Type="http://schemas.openxmlformats.org/officeDocument/2006/relationships/hyperlink" Target="https://en.wikipedia.org/wiki/Saguache_County,_Colorado" TargetMode="External"/><Relationship Id="rId2760" Type="http://schemas.openxmlformats.org/officeDocument/2006/relationships/hyperlink" Target="https://en.wikipedia.org/wiki/Minnesota" TargetMode="External"/><Relationship Id="rId1430" Type="http://schemas.openxmlformats.org/officeDocument/2006/relationships/hyperlink" Target="https://en.wikipedia.org/wiki/Indiana" TargetMode="External"/><Relationship Id="rId2761" Type="http://schemas.openxmlformats.org/officeDocument/2006/relationships/hyperlink" Target="https://en.wikipedia.org/wiki/Renville_County,_Minnesota" TargetMode="External"/><Relationship Id="rId1431" Type="http://schemas.openxmlformats.org/officeDocument/2006/relationships/hyperlink" Target="https://en.wikipedia.org/wiki/DeKalb_County,_Indiana" TargetMode="External"/><Relationship Id="rId2762" Type="http://schemas.openxmlformats.org/officeDocument/2006/relationships/hyperlink" Target="https://en.wikipedia.org/wiki/Minnesota" TargetMode="External"/><Relationship Id="rId1432" Type="http://schemas.openxmlformats.org/officeDocument/2006/relationships/hyperlink" Target="https://en.wikipedia.org/wiki/Indiana" TargetMode="External"/><Relationship Id="rId2763" Type="http://schemas.openxmlformats.org/officeDocument/2006/relationships/hyperlink" Target="https://en.wikipedia.org/wiki/Rice_County,_Minnesota" TargetMode="External"/><Relationship Id="rId1422" Type="http://schemas.openxmlformats.org/officeDocument/2006/relationships/hyperlink" Target="https://en.wikipedia.org/wiki/Indiana" TargetMode="External"/><Relationship Id="rId2753" Type="http://schemas.openxmlformats.org/officeDocument/2006/relationships/hyperlink" Target="https://en.wikipedia.org/wiki/Pope_County,_Minnesota" TargetMode="External"/><Relationship Id="rId1423" Type="http://schemas.openxmlformats.org/officeDocument/2006/relationships/hyperlink" Target="https://en.wikipedia.org/wiki/Crawford_County,_Indiana" TargetMode="External"/><Relationship Id="rId2754" Type="http://schemas.openxmlformats.org/officeDocument/2006/relationships/hyperlink" Target="https://en.wikipedia.org/wiki/Minnesota" TargetMode="External"/><Relationship Id="rId1424" Type="http://schemas.openxmlformats.org/officeDocument/2006/relationships/hyperlink" Target="https://en.wikipedia.org/wiki/Indiana" TargetMode="External"/><Relationship Id="rId2755" Type="http://schemas.openxmlformats.org/officeDocument/2006/relationships/hyperlink" Target="https://en.wikipedia.org/wiki/Ramsey_County,_Minnesota" TargetMode="External"/><Relationship Id="rId1425" Type="http://schemas.openxmlformats.org/officeDocument/2006/relationships/hyperlink" Target="https://en.wikipedia.org/wiki/Daviess_County,_Indiana" TargetMode="External"/><Relationship Id="rId2756" Type="http://schemas.openxmlformats.org/officeDocument/2006/relationships/hyperlink" Target="https://en.wikipedia.org/wiki/Minnesota" TargetMode="External"/><Relationship Id="rId1426" Type="http://schemas.openxmlformats.org/officeDocument/2006/relationships/hyperlink" Target="https://en.wikipedia.org/wiki/Indiana" TargetMode="External"/><Relationship Id="rId2757" Type="http://schemas.openxmlformats.org/officeDocument/2006/relationships/hyperlink" Target="https://en.wikipedia.org/wiki/Red_Lake_County,_Minnesota" TargetMode="External"/><Relationship Id="rId1427" Type="http://schemas.openxmlformats.org/officeDocument/2006/relationships/hyperlink" Target="https://en.wikipedia.org/wiki/Dearborn_County,_Indiana" TargetMode="External"/><Relationship Id="rId2758" Type="http://schemas.openxmlformats.org/officeDocument/2006/relationships/hyperlink" Target="https://en.wikipedia.org/wiki/Minnesota" TargetMode="External"/><Relationship Id="rId1428" Type="http://schemas.openxmlformats.org/officeDocument/2006/relationships/hyperlink" Target="https://en.wikipedia.org/wiki/Indiana" TargetMode="External"/><Relationship Id="rId2759" Type="http://schemas.openxmlformats.org/officeDocument/2006/relationships/hyperlink" Target="https://en.wikipedia.org/wiki/Redwood_County,_Minnesota" TargetMode="External"/><Relationship Id="rId1429" Type="http://schemas.openxmlformats.org/officeDocument/2006/relationships/hyperlink" Target="https://en.wikipedia.org/wiki/Decatur_County,_Indiana" TargetMode="External"/><Relationship Id="rId2750" Type="http://schemas.openxmlformats.org/officeDocument/2006/relationships/hyperlink" Target="https://en.wikipedia.org/wiki/Minnesota" TargetMode="External"/><Relationship Id="rId1420" Type="http://schemas.openxmlformats.org/officeDocument/2006/relationships/hyperlink" Target="https://en.wikipedia.org/wiki/Indiana" TargetMode="External"/><Relationship Id="rId2751" Type="http://schemas.openxmlformats.org/officeDocument/2006/relationships/hyperlink" Target="https://en.wikipedia.org/wiki/Polk_County,_Minnesota" TargetMode="External"/><Relationship Id="rId1421" Type="http://schemas.openxmlformats.org/officeDocument/2006/relationships/hyperlink" Target="https://en.wikipedia.org/wiki/Clinton_County,_Indiana" TargetMode="External"/><Relationship Id="rId2752" Type="http://schemas.openxmlformats.org/officeDocument/2006/relationships/hyperlink" Target="https://en.wikipedia.org/wiki/Minnesota" TargetMode="External"/><Relationship Id="rId699" Type="http://schemas.openxmlformats.org/officeDocument/2006/relationships/hyperlink" Target="https://en.wikipedia.org/wiki/Hillsborough_County,_Florida" TargetMode="External"/><Relationship Id="rId698" Type="http://schemas.openxmlformats.org/officeDocument/2006/relationships/hyperlink" Target="https://en.wikipedia.org/wiki/Florida" TargetMode="External"/><Relationship Id="rId693" Type="http://schemas.openxmlformats.org/officeDocument/2006/relationships/hyperlink" Target="https://en.wikipedia.org/wiki/Hendry_County,_Florida" TargetMode="External"/><Relationship Id="rId692" Type="http://schemas.openxmlformats.org/officeDocument/2006/relationships/hyperlink" Target="https://en.wikipedia.org/wiki/Florida" TargetMode="External"/><Relationship Id="rId691" Type="http://schemas.openxmlformats.org/officeDocument/2006/relationships/hyperlink" Target="https://en.wikipedia.org/wiki/Hardee_County,_Florida" TargetMode="External"/><Relationship Id="rId690" Type="http://schemas.openxmlformats.org/officeDocument/2006/relationships/hyperlink" Target="https://en.wikipedia.org/wiki/Florida" TargetMode="External"/><Relationship Id="rId697" Type="http://schemas.openxmlformats.org/officeDocument/2006/relationships/hyperlink" Target="https://en.wikipedia.org/wiki/Highlands_County,_Florida" TargetMode="External"/><Relationship Id="rId696" Type="http://schemas.openxmlformats.org/officeDocument/2006/relationships/hyperlink" Target="https://en.wikipedia.org/wiki/Florida" TargetMode="External"/><Relationship Id="rId695" Type="http://schemas.openxmlformats.org/officeDocument/2006/relationships/hyperlink" Target="https://en.wikipedia.org/wiki/Hernando_County,_Florida" TargetMode="External"/><Relationship Id="rId694" Type="http://schemas.openxmlformats.org/officeDocument/2006/relationships/hyperlink" Target="https://en.wikipedia.org/wiki/Florida" TargetMode="External"/><Relationship Id="rId1499" Type="http://schemas.openxmlformats.org/officeDocument/2006/relationships/hyperlink" Target="https://en.wikipedia.org/wiki/Martin_County,_Indiana" TargetMode="External"/><Relationship Id="rId668" Type="http://schemas.openxmlformats.org/officeDocument/2006/relationships/hyperlink" Target="https://en.wikipedia.org/wiki/Florida" TargetMode="External"/><Relationship Id="rId667" Type="http://schemas.openxmlformats.org/officeDocument/2006/relationships/hyperlink" Target="https://en.wikipedia.org/wiki/Columbia_County,_Florida" TargetMode="External"/><Relationship Id="rId666" Type="http://schemas.openxmlformats.org/officeDocument/2006/relationships/hyperlink" Target="https://en.wikipedia.org/wiki/Florida" TargetMode="External"/><Relationship Id="rId665" Type="http://schemas.openxmlformats.org/officeDocument/2006/relationships/hyperlink" Target="https://en.wikipedia.org/wiki/Collier_County,_Florida" TargetMode="External"/><Relationship Id="rId669" Type="http://schemas.openxmlformats.org/officeDocument/2006/relationships/hyperlink" Target="https://en.wikipedia.org/wiki/DeSoto_County,_Florida" TargetMode="External"/><Relationship Id="rId1490" Type="http://schemas.openxmlformats.org/officeDocument/2006/relationships/hyperlink" Target="https://en.wikipedia.org/wiki/Indiana" TargetMode="External"/><Relationship Id="rId660" Type="http://schemas.openxmlformats.org/officeDocument/2006/relationships/hyperlink" Target="https://en.wikipedia.org/wiki/Florida" TargetMode="External"/><Relationship Id="rId1491" Type="http://schemas.openxmlformats.org/officeDocument/2006/relationships/hyperlink" Target="https://en.wikipedia.org/wiki/Lawrence_County,_Indiana" TargetMode="External"/><Relationship Id="rId1492" Type="http://schemas.openxmlformats.org/officeDocument/2006/relationships/hyperlink" Target="https://en.wikipedia.org/wiki/Indiana" TargetMode="External"/><Relationship Id="rId1493" Type="http://schemas.openxmlformats.org/officeDocument/2006/relationships/hyperlink" Target="https://en.wikipedia.org/wiki/Madison_County,_Indiana" TargetMode="External"/><Relationship Id="rId1494" Type="http://schemas.openxmlformats.org/officeDocument/2006/relationships/hyperlink" Target="https://en.wikipedia.org/wiki/Indiana" TargetMode="External"/><Relationship Id="rId664" Type="http://schemas.openxmlformats.org/officeDocument/2006/relationships/hyperlink" Target="https://en.wikipedia.org/wiki/Florida" TargetMode="External"/><Relationship Id="rId1495" Type="http://schemas.openxmlformats.org/officeDocument/2006/relationships/hyperlink" Target="https://en.wikipedia.org/wiki/Marion_County,_Indiana" TargetMode="External"/><Relationship Id="rId663" Type="http://schemas.openxmlformats.org/officeDocument/2006/relationships/hyperlink" Target="https://en.wikipedia.org/wiki/Clay_County,_Florida" TargetMode="External"/><Relationship Id="rId1496" Type="http://schemas.openxmlformats.org/officeDocument/2006/relationships/hyperlink" Target="https://en.wikipedia.org/wiki/Indiana" TargetMode="External"/><Relationship Id="rId662" Type="http://schemas.openxmlformats.org/officeDocument/2006/relationships/hyperlink" Target="https://en.wikipedia.org/wiki/Florida" TargetMode="External"/><Relationship Id="rId1497" Type="http://schemas.openxmlformats.org/officeDocument/2006/relationships/hyperlink" Target="https://en.wikipedia.org/wiki/Marshall_County,_Indiana" TargetMode="External"/><Relationship Id="rId661" Type="http://schemas.openxmlformats.org/officeDocument/2006/relationships/hyperlink" Target="https://en.wikipedia.org/wiki/Citrus_County,_Florida" TargetMode="External"/><Relationship Id="rId1498" Type="http://schemas.openxmlformats.org/officeDocument/2006/relationships/hyperlink" Target="https://en.wikipedia.org/wiki/Indiana" TargetMode="External"/><Relationship Id="rId1488" Type="http://schemas.openxmlformats.org/officeDocument/2006/relationships/hyperlink" Target="https://en.wikipedia.org/wiki/Indiana" TargetMode="External"/><Relationship Id="rId1489" Type="http://schemas.openxmlformats.org/officeDocument/2006/relationships/hyperlink" Target="https://en.wikipedia.org/wiki/LaPorte_County,_Indiana" TargetMode="External"/><Relationship Id="rId657" Type="http://schemas.openxmlformats.org/officeDocument/2006/relationships/hyperlink" Target="https://en.wikipedia.org/wiki/Calhoun_County,_Florida" TargetMode="External"/><Relationship Id="rId656" Type="http://schemas.openxmlformats.org/officeDocument/2006/relationships/hyperlink" Target="https://en.wikipedia.org/wiki/Florida" TargetMode="External"/><Relationship Id="rId655" Type="http://schemas.openxmlformats.org/officeDocument/2006/relationships/hyperlink" Target="https://en.wikipedia.org/wiki/Broward_County,_Florida" TargetMode="External"/><Relationship Id="rId654" Type="http://schemas.openxmlformats.org/officeDocument/2006/relationships/hyperlink" Target="https://en.wikipedia.org/wiki/Florida" TargetMode="External"/><Relationship Id="rId659" Type="http://schemas.openxmlformats.org/officeDocument/2006/relationships/hyperlink" Target="https://en.wikipedia.org/wiki/Charlotte_County,_Florida" TargetMode="External"/><Relationship Id="rId658" Type="http://schemas.openxmlformats.org/officeDocument/2006/relationships/hyperlink" Target="https://en.wikipedia.org/wiki/Florida" TargetMode="External"/><Relationship Id="rId1480" Type="http://schemas.openxmlformats.org/officeDocument/2006/relationships/hyperlink" Target="https://en.wikipedia.org/wiki/Indiana" TargetMode="External"/><Relationship Id="rId1481" Type="http://schemas.openxmlformats.org/officeDocument/2006/relationships/hyperlink" Target="https://en.wikipedia.org/wiki/Knox_County,_Indiana" TargetMode="External"/><Relationship Id="rId1482" Type="http://schemas.openxmlformats.org/officeDocument/2006/relationships/hyperlink" Target="https://en.wikipedia.org/wiki/Indiana" TargetMode="External"/><Relationship Id="rId1483" Type="http://schemas.openxmlformats.org/officeDocument/2006/relationships/hyperlink" Target="https://en.wikipedia.org/wiki/Kosciusko_County,_Indiana" TargetMode="External"/><Relationship Id="rId653" Type="http://schemas.openxmlformats.org/officeDocument/2006/relationships/hyperlink" Target="https://en.wikipedia.org/wiki/Brevard_County,_Florida" TargetMode="External"/><Relationship Id="rId1484" Type="http://schemas.openxmlformats.org/officeDocument/2006/relationships/hyperlink" Target="https://en.wikipedia.org/wiki/Indiana" TargetMode="External"/><Relationship Id="rId652" Type="http://schemas.openxmlformats.org/officeDocument/2006/relationships/hyperlink" Target="https://en.wikipedia.org/wiki/Florida" TargetMode="External"/><Relationship Id="rId1485" Type="http://schemas.openxmlformats.org/officeDocument/2006/relationships/hyperlink" Target="https://en.wikipedia.org/wiki/LaGrange_County,_Indiana" TargetMode="External"/><Relationship Id="rId651" Type="http://schemas.openxmlformats.org/officeDocument/2006/relationships/hyperlink" Target="https://en.wikipedia.org/wiki/Bradford_County,_Florida" TargetMode="External"/><Relationship Id="rId1486" Type="http://schemas.openxmlformats.org/officeDocument/2006/relationships/hyperlink" Target="https://en.wikipedia.org/wiki/Indiana" TargetMode="External"/><Relationship Id="rId650" Type="http://schemas.openxmlformats.org/officeDocument/2006/relationships/hyperlink" Target="https://en.wikipedia.org/wiki/Florida" TargetMode="External"/><Relationship Id="rId1487" Type="http://schemas.openxmlformats.org/officeDocument/2006/relationships/hyperlink" Target="https://en.wikipedia.org/wiki/Lake_County,_Indiana" TargetMode="External"/><Relationship Id="rId689" Type="http://schemas.openxmlformats.org/officeDocument/2006/relationships/hyperlink" Target="https://en.wikipedia.org/wiki/Hamilton_County,_Florida" TargetMode="External"/><Relationship Id="rId688" Type="http://schemas.openxmlformats.org/officeDocument/2006/relationships/hyperlink" Target="https://en.wikipedia.org/wiki/Florida" TargetMode="External"/><Relationship Id="rId687" Type="http://schemas.openxmlformats.org/officeDocument/2006/relationships/hyperlink" Target="https://en.wikipedia.org/wiki/Gulf_County,_Florida" TargetMode="External"/><Relationship Id="rId682" Type="http://schemas.openxmlformats.org/officeDocument/2006/relationships/hyperlink" Target="https://en.wikipedia.org/wiki/Florida" TargetMode="External"/><Relationship Id="rId681" Type="http://schemas.openxmlformats.org/officeDocument/2006/relationships/hyperlink" Target="https://en.wikipedia.org/wiki/Gadsden_County,_Florida" TargetMode="External"/><Relationship Id="rId680" Type="http://schemas.openxmlformats.org/officeDocument/2006/relationships/hyperlink" Target="https://en.wikipedia.org/wiki/Florida" TargetMode="External"/><Relationship Id="rId686" Type="http://schemas.openxmlformats.org/officeDocument/2006/relationships/hyperlink" Target="https://en.wikipedia.org/wiki/Florida" TargetMode="External"/><Relationship Id="rId685" Type="http://schemas.openxmlformats.org/officeDocument/2006/relationships/hyperlink" Target="https://en.wikipedia.org/wiki/Glades_County,_Florida" TargetMode="External"/><Relationship Id="rId684" Type="http://schemas.openxmlformats.org/officeDocument/2006/relationships/hyperlink" Target="https://en.wikipedia.org/wiki/Florida" TargetMode="External"/><Relationship Id="rId683" Type="http://schemas.openxmlformats.org/officeDocument/2006/relationships/hyperlink" Target="https://en.wikipedia.org/wiki/Gilchrist_County,_Florida" TargetMode="External"/><Relationship Id="rId679" Type="http://schemas.openxmlformats.org/officeDocument/2006/relationships/hyperlink" Target="https://en.wikipedia.org/wiki/Franklin_County,_Florida" TargetMode="External"/><Relationship Id="rId678" Type="http://schemas.openxmlformats.org/officeDocument/2006/relationships/hyperlink" Target="https://en.wikipedia.org/wiki/Florida" TargetMode="External"/><Relationship Id="rId677" Type="http://schemas.openxmlformats.org/officeDocument/2006/relationships/hyperlink" Target="https://en.wikipedia.org/wiki/Flagler_County,_Florida" TargetMode="External"/><Relationship Id="rId676" Type="http://schemas.openxmlformats.org/officeDocument/2006/relationships/hyperlink" Target="https://en.wikipedia.org/wiki/Florida" TargetMode="External"/><Relationship Id="rId671" Type="http://schemas.openxmlformats.org/officeDocument/2006/relationships/hyperlink" Target="https://en.wikipedia.org/wiki/Dixie_County,_Florida" TargetMode="External"/><Relationship Id="rId670" Type="http://schemas.openxmlformats.org/officeDocument/2006/relationships/hyperlink" Target="https://en.wikipedia.org/wiki/Florida" TargetMode="External"/><Relationship Id="rId675" Type="http://schemas.openxmlformats.org/officeDocument/2006/relationships/hyperlink" Target="https://en.wikipedia.org/wiki/Escambia_County,_Florida" TargetMode="External"/><Relationship Id="rId674" Type="http://schemas.openxmlformats.org/officeDocument/2006/relationships/hyperlink" Target="https://en.wikipedia.org/wiki/Florida" TargetMode="External"/><Relationship Id="rId673" Type="http://schemas.openxmlformats.org/officeDocument/2006/relationships/hyperlink" Target="https://en.wikipedia.org/wiki/Duval_County,_Florida" TargetMode="External"/><Relationship Id="rId672" Type="http://schemas.openxmlformats.org/officeDocument/2006/relationships/hyperlink" Target="https://en.wikipedia.org/wiki/Florida" TargetMode="External"/><Relationship Id="rId5019" Type="http://schemas.openxmlformats.org/officeDocument/2006/relationships/hyperlink" Target="https://en.wikipedia.org/wiki/Smith_County,_Tennessee" TargetMode="External"/><Relationship Id="rId5010" Type="http://schemas.openxmlformats.org/officeDocument/2006/relationships/hyperlink" Target="https://en.wikipedia.org/wiki/Tennessee" TargetMode="External"/><Relationship Id="rId5013" Type="http://schemas.openxmlformats.org/officeDocument/2006/relationships/hyperlink" Target="https://en.wikipedia.org/wiki/Sequatchie_County,_Tennessee" TargetMode="External"/><Relationship Id="rId5014" Type="http://schemas.openxmlformats.org/officeDocument/2006/relationships/hyperlink" Target="https://en.wikipedia.org/wiki/Tennessee" TargetMode="External"/><Relationship Id="rId5011" Type="http://schemas.openxmlformats.org/officeDocument/2006/relationships/hyperlink" Target="https://en.wikipedia.org/wiki/Scott_County,_Tennessee" TargetMode="External"/><Relationship Id="rId5012" Type="http://schemas.openxmlformats.org/officeDocument/2006/relationships/hyperlink" Target="https://en.wikipedia.org/wiki/Tennessee" TargetMode="External"/><Relationship Id="rId5017" Type="http://schemas.openxmlformats.org/officeDocument/2006/relationships/hyperlink" Target="https://en.wikipedia.org/wiki/Shelby_County,_Tennessee" TargetMode="External"/><Relationship Id="rId5018" Type="http://schemas.openxmlformats.org/officeDocument/2006/relationships/hyperlink" Target="https://en.wikipedia.org/wiki/Tennessee" TargetMode="External"/><Relationship Id="rId5015" Type="http://schemas.openxmlformats.org/officeDocument/2006/relationships/hyperlink" Target="https://en.wikipedia.org/wiki/Sevier_County,_Tennessee" TargetMode="External"/><Relationship Id="rId5016" Type="http://schemas.openxmlformats.org/officeDocument/2006/relationships/hyperlink" Target="https://en.wikipedia.org/wiki/Tennessee" TargetMode="External"/><Relationship Id="rId5008" Type="http://schemas.openxmlformats.org/officeDocument/2006/relationships/hyperlink" Target="https://en.wikipedia.org/wiki/Tennessee" TargetMode="External"/><Relationship Id="rId5009" Type="http://schemas.openxmlformats.org/officeDocument/2006/relationships/hyperlink" Target="https://en.wikipedia.org/wiki/Rutherford_County,_Tennessee" TargetMode="External"/><Relationship Id="rId5002" Type="http://schemas.openxmlformats.org/officeDocument/2006/relationships/hyperlink" Target="https://en.wikipedia.org/wiki/Tennessee" TargetMode="External"/><Relationship Id="rId5003" Type="http://schemas.openxmlformats.org/officeDocument/2006/relationships/hyperlink" Target="https://en.wikipedia.org/wiki/Rhea_County,_Tennessee" TargetMode="External"/><Relationship Id="rId5000" Type="http://schemas.openxmlformats.org/officeDocument/2006/relationships/hyperlink" Target="https://en.wikipedia.org/wiki/Tennessee" TargetMode="External"/><Relationship Id="rId5001" Type="http://schemas.openxmlformats.org/officeDocument/2006/relationships/hyperlink" Target="https://en.wikipedia.org/wiki/Putnam_County,_Tennessee" TargetMode="External"/><Relationship Id="rId5006" Type="http://schemas.openxmlformats.org/officeDocument/2006/relationships/hyperlink" Target="https://en.wikipedia.org/wiki/Tennessee" TargetMode="External"/><Relationship Id="rId5007" Type="http://schemas.openxmlformats.org/officeDocument/2006/relationships/hyperlink" Target="https://en.wikipedia.org/wiki/Robertson_County,_Tennessee" TargetMode="External"/><Relationship Id="rId5004" Type="http://schemas.openxmlformats.org/officeDocument/2006/relationships/hyperlink" Target="https://en.wikipedia.org/wiki/Tennessee" TargetMode="External"/><Relationship Id="rId5005" Type="http://schemas.openxmlformats.org/officeDocument/2006/relationships/hyperlink" Target="https://en.wikipedia.org/wiki/Roane_County,_Tennessee" TargetMode="External"/><Relationship Id="rId5031" Type="http://schemas.openxmlformats.org/officeDocument/2006/relationships/hyperlink" Target="https://en.wikipedia.org/wiki/Unicoi_County,_Tennessee" TargetMode="External"/><Relationship Id="rId5032" Type="http://schemas.openxmlformats.org/officeDocument/2006/relationships/hyperlink" Target="https://en.wikipedia.org/wiki/Tennessee" TargetMode="External"/><Relationship Id="rId5030" Type="http://schemas.openxmlformats.org/officeDocument/2006/relationships/hyperlink" Target="https://en.wikipedia.org/wiki/Tennessee" TargetMode="External"/><Relationship Id="rId5035" Type="http://schemas.openxmlformats.org/officeDocument/2006/relationships/hyperlink" Target="https://en.wikipedia.org/wiki/Van_Buren_County,_Tennessee" TargetMode="External"/><Relationship Id="rId5036" Type="http://schemas.openxmlformats.org/officeDocument/2006/relationships/hyperlink" Target="https://en.wikipedia.org/wiki/Tennessee" TargetMode="External"/><Relationship Id="rId5033" Type="http://schemas.openxmlformats.org/officeDocument/2006/relationships/hyperlink" Target="https://en.wikipedia.org/wiki/Union_County,_Tennessee" TargetMode="External"/><Relationship Id="rId5034" Type="http://schemas.openxmlformats.org/officeDocument/2006/relationships/hyperlink" Target="https://en.wikipedia.org/wiki/Tennessee" TargetMode="External"/><Relationship Id="rId5039" Type="http://schemas.openxmlformats.org/officeDocument/2006/relationships/hyperlink" Target="https://en.wikipedia.org/wiki/Washington_County,_Tennessee" TargetMode="External"/><Relationship Id="rId5037" Type="http://schemas.openxmlformats.org/officeDocument/2006/relationships/hyperlink" Target="https://en.wikipedia.org/wiki/Warren_County,_Tennessee" TargetMode="External"/><Relationship Id="rId5038" Type="http://schemas.openxmlformats.org/officeDocument/2006/relationships/hyperlink" Target="https://en.wikipedia.org/wiki/Tennessee" TargetMode="External"/><Relationship Id="rId5020" Type="http://schemas.openxmlformats.org/officeDocument/2006/relationships/hyperlink" Target="https://en.wikipedia.org/wiki/Tennessee" TargetMode="External"/><Relationship Id="rId5021" Type="http://schemas.openxmlformats.org/officeDocument/2006/relationships/hyperlink" Target="https://en.wikipedia.org/wiki/Stewart_County,_Tennessee" TargetMode="External"/><Relationship Id="rId5024" Type="http://schemas.openxmlformats.org/officeDocument/2006/relationships/hyperlink" Target="https://en.wikipedia.org/wiki/Tennessee" TargetMode="External"/><Relationship Id="rId5025" Type="http://schemas.openxmlformats.org/officeDocument/2006/relationships/hyperlink" Target="https://en.wikipedia.org/wiki/Sumner_County,_Tennessee" TargetMode="External"/><Relationship Id="rId5022" Type="http://schemas.openxmlformats.org/officeDocument/2006/relationships/hyperlink" Target="https://en.wikipedia.org/wiki/Tennessee" TargetMode="External"/><Relationship Id="rId5023" Type="http://schemas.openxmlformats.org/officeDocument/2006/relationships/hyperlink" Target="https://en.wikipedia.org/wiki/Sullivan_County,_Tennessee" TargetMode="External"/><Relationship Id="rId5028" Type="http://schemas.openxmlformats.org/officeDocument/2006/relationships/hyperlink" Target="https://en.wikipedia.org/wiki/Tennessee" TargetMode="External"/><Relationship Id="rId5029" Type="http://schemas.openxmlformats.org/officeDocument/2006/relationships/hyperlink" Target="https://en.wikipedia.org/wiki/Trousdale_County,_Tennessee" TargetMode="External"/><Relationship Id="rId5026" Type="http://schemas.openxmlformats.org/officeDocument/2006/relationships/hyperlink" Target="https://en.wikipedia.org/wiki/Tennessee" TargetMode="External"/><Relationship Id="rId5027" Type="http://schemas.openxmlformats.org/officeDocument/2006/relationships/hyperlink" Target="https://en.wikipedia.org/wiki/Tipton_County,_Tennessee" TargetMode="External"/><Relationship Id="rId2820" Type="http://schemas.openxmlformats.org/officeDocument/2006/relationships/hyperlink" Target="https://en.wikipedia.org/wiki/Mississippi" TargetMode="External"/><Relationship Id="rId2821" Type="http://schemas.openxmlformats.org/officeDocument/2006/relationships/hyperlink" Target="https://en.wikipedia.org/wiki/Carroll_County,_Mississippi" TargetMode="External"/><Relationship Id="rId2822" Type="http://schemas.openxmlformats.org/officeDocument/2006/relationships/hyperlink" Target="https://en.wikipedia.org/wiki/Mississippi" TargetMode="External"/><Relationship Id="rId2823" Type="http://schemas.openxmlformats.org/officeDocument/2006/relationships/hyperlink" Target="https://en.wikipedia.org/wiki/Chickasaw_County,_Mississippi" TargetMode="External"/><Relationship Id="rId2824" Type="http://schemas.openxmlformats.org/officeDocument/2006/relationships/hyperlink" Target="https://en.wikipedia.org/wiki/Mississippi" TargetMode="External"/><Relationship Id="rId2825" Type="http://schemas.openxmlformats.org/officeDocument/2006/relationships/hyperlink" Target="https://en.wikipedia.org/wiki/Choctaw_County,_Mississippi" TargetMode="External"/><Relationship Id="rId2826" Type="http://schemas.openxmlformats.org/officeDocument/2006/relationships/hyperlink" Target="https://en.wikipedia.org/wiki/Mississippi" TargetMode="External"/><Relationship Id="rId2827" Type="http://schemas.openxmlformats.org/officeDocument/2006/relationships/hyperlink" Target="https://en.wikipedia.org/wiki/Claiborne_County,_Mississippi" TargetMode="External"/><Relationship Id="rId2828" Type="http://schemas.openxmlformats.org/officeDocument/2006/relationships/hyperlink" Target="https://en.wikipedia.org/wiki/Mississippi" TargetMode="External"/><Relationship Id="rId2829" Type="http://schemas.openxmlformats.org/officeDocument/2006/relationships/hyperlink" Target="https://en.wikipedia.org/wiki/Clarke_County,_Mississippi" TargetMode="External"/><Relationship Id="rId5093" Type="http://schemas.openxmlformats.org/officeDocument/2006/relationships/hyperlink" Target="https://en.wikipedia.org/wiki/Brewster_County,_Texas" TargetMode="External"/><Relationship Id="rId5094" Type="http://schemas.openxmlformats.org/officeDocument/2006/relationships/hyperlink" Target="https://en.wikipedia.org/wiki/Texas" TargetMode="External"/><Relationship Id="rId5091" Type="http://schemas.openxmlformats.org/officeDocument/2006/relationships/hyperlink" Target="https://en.wikipedia.org/wiki/Brazos_County,_Texas" TargetMode="External"/><Relationship Id="rId5092" Type="http://schemas.openxmlformats.org/officeDocument/2006/relationships/hyperlink" Target="https://en.wikipedia.org/wiki/Texas" TargetMode="External"/><Relationship Id="rId5097" Type="http://schemas.openxmlformats.org/officeDocument/2006/relationships/hyperlink" Target="https://en.wikipedia.org/wiki/Brooks_County,_Texas" TargetMode="External"/><Relationship Id="rId5098" Type="http://schemas.openxmlformats.org/officeDocument/2006/relationships/hyperlink" Target="https://en.wikipedia.org/wiki/Texas" TargetMode="External"/><Relationship Id="rId5095" Type="http://schemas.openxmlformats.org/officeDocument/2006/relationships/hyperlink" Target="https://en.wikipedia.org/wiki/Briscoe_County,_Texas" TargetMode="External"/><Relationship Id="rId5096" Type="http://schemas.openxmlformats.org/officeDocument/2006/relationships/hyperlink" Target="https://en.wikipedia.org/wiki/Texas" TargetMode="External"/><Relationship Id="rId5099" Type="http://schemas.openxmlformats.org/officeDocument/2006/relationships/hyperlink" Target="https://en.wikipedia.org/wiki/Brown_County,_Texas" TargetMode="External"/><Relationship Id="rId2810" Type="http://schemas.openxmlformats.org/officeDocument/2006/relationships/hyperlink" Target="https://en.wikipedia.org/wiki/Mississippi" TargetMode="External"/><Relationship Id="rId2811" Type="http://schemas.openxmlformats.org/officeDocument/2006/relationships/hyperlink" Target="https://en.wikipedia.org/wiki/Amite_County,_Mississippi" TargetMode="External"/><Relationship Id="rId2812" Type="http://schemas.openxmlformats.org/officeDocument/2006/relationships/hyperlink" Target="https://en.wikipedia.org/wiki/Mississippi" TargetMode="External"/><Relationship Id="rId2813" Type="http://schemas.openxmlformats.org/officeDocument/2006/relationships/hyperlink" Target="https://en.wikipedia.org/wiki/Attala_County,_Mississippi" TargetMode="External"/><Relationship Id="rId2814" Type="http://schemas.openxmlformats.org/officeDocument/2006/relationships/hyperlink" Target="https://en.wikipedia.org/wiki/Mississippi" TargetMode="External"/><Relationship Id="rId2815" Type="http://schemas.openxmlformats.org/officeDocument/2006/relationships/hyperlink" Target="https://en.wikipedia.org/wiki/Benton_County,_Mississippi" TargetMode="External"/><Relationship Id="rId2816" Type="http://schemas.openxmlformats.org/officeDocument/2006/relationships/hyperlink" Target="https://en.wikipedia.org/wiki/Mississippi" TargetMode="External"/><Relationship Id="rId2817" Type="http://schemas.openxmlformats.org/officeDocument/2006/relationships/hyperlink" Target="https://en.wikipedia.org/wiki/Bolivar_County,_Mississippi" TargetMode="External"/><Relationship Id="rId2818" Type="http://schemas.openxmlformats.org/officeDocument/2006/relationships/hyperlink" Target="https://en.wikipedia.org/wiki/Mississippi" TargetMode="External"/><Relationship Id="rId2819" Type="http://schemas.openxmlformats.org/officeDocument/2006/relationships/hyperlink" Target="https://en.wikipedia.org/wiki/Calhoun_County,_Mississippi" TargetMode="External"/><Relationship Id="rId5090" Type="http://schemas.openxmlformats.org/officeDocument/2006/relationships/hyperlink" Target="https://en.wikipedia.org/wiki/Texas" TargetMode="External"/><Relationship Id="rId5082" Type="http://schemas.openxmlformats.org/officeDocument/2006/relationships/hyperlink" Target="https://en.wikipedia.org/wiki/Texas" TargetMode="External"/><Relationship Id="rId5083" Type="http://schemas.openxmlformats.org/officeDocument/2006/relationships/hyperlink" Target="https://en.wikipedia.org/wiki/Borden_County,_Texas" TargetMode="External"/><Relationship Id="rId5080" Type="http://schemas.openxmlformats.org/officeDocument/2006/relationships/hyperlink" Target="https://en.wikipedia.org/wiki/Texas" TargetMode="External"/><Relationship Id="rId5081" Type="http://schemas.openxmlformats.org/officeDocument/2006/relationships/hyperlink" Target="https://en.wikipedia.org/wiki/Blanco_County,_Texas" TargetMode="External"/><Relationship Id="rId5086" Type="http://schemas.openxmlformats.org/officeDocument/2006/relationships/hyperlink" Target="https://en.wikipedia.org/wiki/Texas" TargetMode="External"/><Relationship Id="rId5087" Type="http://schemas.openxmlformats.org/officeDocument/2006/relationships/hyperlink" Target="https://en.wikipedia.org/wiki/Bowie_County,_Texas" TargetMode="External"/><Relationship Id="rId5084" Type="http://schemas.openxmlformats.org/officeDocument/2006/relationships/hyperlink" Target="https://en.wikipedia.org/wiki/Texas" TargetMode="External"/><Relationship Id="rId5085" Type="http://schemas.openxmlformats.org/officeDocument/2006/relationships/hyperlink" Target="https://en.wikipedia.org/wiki/Bosque_County,_Texas" TargetMode="External"/><Relationship Id="rId5088" Type="http://schemas.openxmlformats.org/officeDocument/2006/relationships/hyperlink" Target="https://en.wikipedia.org/wiki/Texas" TargetMode="External"/><Relationship Id="rId5089" Type="http://schemas.openxmlformats.org/officeDocument/2006/relationships/hyperlink" Target="https://en.wikipedia.org/wiki/Brazoria_County,_Texas" TargetMode="External"/><Relationship Id="rId1510" Type="http://schemas.openxmlformats.org/officeDocument/2006/relationships/hyperlink" Target="https://en.wikipedia.org/wiki/Indiana" TargetMode="External"/><Relationship Id="rId2841" Type="http://schemas.openxmlformats.org/officeDocument/2006/relationships/hyperlink" Target="https://en.wikipedia.org/wiki/Forrest_County,_Mississippi" TargetMode="External"/><Relationship Id="rId1511" Type="http://schemas.openxmlformats.org/officeDocument/2006/relationships/hyperlink" Target="https://en.wikipedia.org/wiki/Noble_County,_Indiana" TargetMode="External"/><Relationship Id="rId2842" Type="http://schemas.openxmlformats.org/officeDocument/2006/relationships/hyperlink" Target="https://en.wikipedia.org/wiki/Mississippi" TargetMode="External"/><Relationship Id="rId1512" Type="http://schemas.openxmlformats.org/officeDocument/2006/relationships/hyperlink" Target="https://en.wikipedia.org/wiki/Indiana" TargetMode="External"/><Relationship Id="rId2843" Type="http://schemas.openxmlformats.org/officeDocument/2006/relationships/hyperlink" Target="https://en.wikipedia.org/wiki/Franklin_County,_Mississippi" TargetMode="External"/><Relationship Id="rId1513" Type="http://schemas.openxmlformats.org/officeDocument/2006/relationships/hyperlink" Target="https://en.wikipedia.org/wiki/Ohio_County,_Indiana" TargetMode="External"/><Relationship Id="rId2844" Type="http://schemas.openxmlformats.org/officeDocument/2006/relationships/hyperlink" Target="https://en.wikipedia.org/wiki/Mississippi" TargetMode="External"/><Relationship Id="rId1514" Type="http://schemas.openxmlformats.org/officeDocument/2006/relationships/hyperlink" Target="https://en.wikipedia.org/wiki/Indiana" TargetMode="External"/><Relationship Id="rId2845" Type="http://schemas.openxmlformats.org/officeDocument/2006/relationships/hyperlink" Target="https://en.wikipedia.org/wiki/George_County,_Mississippi" TargetMode="External"/><Relationship Id="rId1515" Type="http://schemas.openxmlformats.org/officeDocument/2006/relationships/hyperlink" Target="https://en.wikipedia.org/wiki/Orange_County,_Indiana" TargetMode="External"/><Relationship Id="rId2846" Type="http://schemas.openxmlformats.org/officeDocument/2006/relationships/hyperlink" Target="https://en.wikipedia.org/wiki/Mississippi" TargetMode="External"/><Relationship Id="rId1516" Type="http://schemas.openxmlformats.org/officeDocument/2006/relationships/hyperlink" Target="https://en.wikipedia.org/wiki/Indiana" TargetMode="External"/><Relationship Id="rId2847" Type="http://schemas.openxmlformats.org/officeDocument/2006/relationships/hyperlink" Target="https://en.wikipedia.org/wiki/Greene_County,_Mississippi" TargetMode="External"/><Relationship Id="rId1517" Type="http://schemas.openxmlformats.org/officeDocument/2006/relationships/hyperlink" Target="https://en.wikipedia.org/wiki/Owen_County,_Indiana" TargetMode="External"/><Relationship Id="rId2848" Type="http://schemas.openxmlformats.org/officeDocument/2006/relationships/hyperlink" Target="https://en.wikipedia.org/wiki/Mississippi" TargetMode="External"/><Relationship Id="rId1518" Type="http://schemas.openxmlformats.org/officeDocument/2006/relationships/hyperlink" Target="https://en.wikipedia.org/wiki/Indiana" TargetMode="External"/><Relationship Id="rId2849" Type="http://schemas.openxmlformats.org/officeDocument/2006/relationships/hyperlink" Target="https://en.wikipedia.org/wiki/Grenada_County,_Mississippi" TargetMode="External"/><Relationship Id="rId1519" Type="http://schemas.openxmlformats.org/officeDocument/2006/relationships/hyperlink" Target="https://en.wikipedia.org/wiki/Parke_County,_Indiana" TargetMode="External"/><Relationship Id="rId2840" Type="http://schemas.openxmlformats.org/officeDocument/2006/relationships/hyperlink" Target="https://en.wikipedia.org/wiki/Mississippi" TargetMode="External"/><Relationship Id="rId2830" Type="http://schemas.openxmlformats.org/officeDocument/2006/relationships/hyperlink" Target="https://en.wikipedia.org/wiki/Mississippi" TargetMode="External"/><Relationship Id="rId1500" Type="http://schemas.openxmlformats.org/officeDocument/2006/relationships/hyperlink" Target="https://en.wikipedia.org/wiki/Indiana" TargetMode="External"/><Relationship Id="rId2831" Type="http://schemas.openxmlformats.org/officeDocument/2006/relationships/hyperlink" Target="https://en.wikipedia.org/wiki/Clay_County,_Mississippi" TargetMode="External"/><Relationship Id="rId1501" Type="http://schemas.openxmlformats.org/officeDocument/2006/relationships/hyperlink" Target="https://en.wikipedia.org/wiki/Miami_County,_Indiana" TargetMode="External"/><Relationship Id="rId2832" Type="http://schemas.openxmlformats.org/officeDocument/2006/relationships/hyperlink" Target="https://en.wikipedia.org/wiki/Mississippi" TargetMode="External"/><Relationship Id="rId1502" Type="http://schemas.openxmlformats.org/officeDocument/2006/relationships/hyperlink" Target="https://en.wikipedia.org/wiki/Indiana" TargetMode="External"/><Relationship Id="rId2833" Type="http://schemas.openxmlformats.org/officeDocument/2006/relationships/hyperlink" Target="https://en.wikipedia.org/wiki/Coahoma_County,_Mississippi" TargetMode="External"/><Relationship Id="rId1503" Type="http://schemas.openxmlformats.org/officeDocument/2006/relationships/hyperlink" Target="https://en.wikipedia.org/wiki/Monroe_County,_Indiana" TargetMode="External"/><Relationship Id="rId2834" Type="http://schemas.openxmlformats.org/officeDocument/2006/relationships/hyperlink" Target="https://en.wikipedia.org/wiki/Mississippi" TargetMode="External"/><Relationship Id="rId1504" Type="http://schemas.openxmlformats.org/officeDocument/2006/relationships/hyperlink" Target="https://en.wikipedia.org/wiki/Indiana" TargetMode="External"/><Relationship Id="rId2835" Type="http://schemas.openxmlformats.org/officeDocument/2006/relationships/hyperlink" Target="https://en.wikipedia.org/wiki/Copiah_County,_Mississippi" TargetMode="External"/><Relationship Id="rId1505" Type="http://schemas.openxmlformats.org/officeDocument/2006/relationships/hyperlink" Target="https://en.wikipedia.org/wiki/Montgomery_County,_Indiana" TargetMode="External"/><Relationship Id="rId2836" Type="http://schemas.openxmlformats.org/officeDocument/2006/relationships/hyperlink" Target="https://en.wikipedia.org/wiki/Mississippi" TargetMode="External"/><Relationship Id="rId1506" Type="http://schemas.openxmlformats.org/officeDocument/2006/relationships/hyperlink" Target="https://en.wikipedia.org/wiki/Indiana" TargetMode="External"/><Relationship Id="rId2837" Type="http://schemas.openxmlformats.org/officeDocument/2006/relationships/hyperlink" Target="https://en.wikipedia.org/wiki/Covington_County,_Mississippi" TargetMode="External"/><Relationship Id="rId1507" Type="http://schemas.openxmlformats.org/officeDocument/2006/relationships/hyperlink" Target="https://en.wikipedia.org/wiki/Morgan_County,_Indiana" TargetMode="External"/><Relationship Id="rId2838" Type="http://schemas.openxmlformats.org/officeDocument/2006/relationships/hyperlink" Target="https://en.wikipedia.org/wiki/Mississippi" TargetMode="External"/><Relationship Id="rId1508" Type="http://schemas.openxmlformats.org/officeDocument/2006/relationships/hyperlink" Target="https://en.wikipedia.org/wiki/Indiana" TargetMode="External"/><Relationship Id="rId2839" Type="http://schemas.openxmlformats.org/officeDocument/2006/relationships/hyperlink" Target="https://en.wikipedia.org/wiki/DeSoto_County,_Mississippi" TargetMode="External"/><Relationship Id="rId1509" Type="http://schemas.openxmlformats.org/officeDocument/2006/relationships/hyperlink" Target="https://en.wikipedia.org/wiki/Newton_County,_Indiana" TargetMode="External"/><Relationship Id="rId5050" Type="http://schemas.openxmlformats.org/officeDocument/2006/relationships/hyperlink" Target="https://en.wikipedia.org/wiki/Texas" TargetMode="External"/><Relationship Id="rId5053" Type="http://schemas.openxmlformats.org/officeDocument/2006/relationships/hyperlink" Target="https://en.wikipedia.org/wiki/Andrews_County,_Texas" TargetMode="External"/><Relationship Id="rId5054" Type="http://schemas.openxmlformats.org/officeDocument/2006/relationships/hyperlink" Target="https://en.wikipedia.org/wiki/Texas" TargetMode="External"/><Relationship Id="rId5051" Type="http://schemas.openxmlformats.org/officeDocument/2006/relationships/hyperlink" Target="https://en.wikipedia.org/wiki/Anderson_County,_Texas" TargetMode="External"/><Relationship Id="rId5052" Type="http://schemas.openxmlformats.org/officeDocument/2006/relationships/hyperlink" Target="https://en.wikipedia.org/wiki/Texas" TargetMode="External"/><Relationship Id="rId5057" Type="http://schemas.openxmlformats.org/officeDocument/2006/relationships/hyperlink" Target="https://en.wikipedia.org/wiki/Aransas_County,_Texas" TargetMode="External"/><Relationship Id="rId5058" Type="http://schemas.openxmlformats.org/officeDocument/2006/relationships/hyperlink" Target="https://en.wikipedia.org/wiki/Texas" TargetMode="External"/><Relationship Id="rId5055" Type="http://schemas.openxmlformats.org/officeDocument/2006/relationships/hyperlink" Target="https://en.wikipedia.org/wiki/Angelina_County,_Texas" TargetMode="External"/><Relationship Id="rId5056" Type="http://schemas.openxmlformats.org/officeDocument/2006/relationships/hyperlink" Target="https://en.wikipedia.org/wiki/Texas" TargetMode="External"/><Relationship Id="rId5059" Type="http://schemas.openxmlformats.org/officeDocument/2006/relationships/hyperlink" Target="https://en.wikipedia.org/wiki/Archer_County,_Texas" TargetMode="External"/><Relationship Id="rId5042" Type="http://schemas.openxmlformats.org/officeDocument/2006/relationships/hyperlink" Target="https://en.wikipedia.org/wiki/Tennessee" TargetMode="External"/><Relationship Id="rId5043" Type="http://schemas.openxmlformats.org/officeDocument/2006/relationships/hyperlink" Target="https://en.wikipedia.org/wiki/Weakley_County,_Tennessee" TargetMode="External"/><Relationship Id="rId5040" Type="http://schemas.openxmlformats.org/officeDocument/2006/relationships/hyperlink" Target="https://en.wikipedia.org/wiki/Tennessee" TargetMode="External"/><Relationship Id="rId5041" Type="http://schemas.openxmlformats.org/officeDocument/2006/relationships/hyperlink" Target="https://en.wikipedia.org/wiki/Wayne_County,_Tennessee" TargetMode="External"/><Relationship Id="rId5046" Type="http://schemas.openxmlformats.org/officeDocument/2006/relationships/hyperlink" Target="https://en.wikipedia.org/wiki/Tennessee" TargetMode="External"/><Relationship Id="rId5047" Type="http://schemas.openxmlformats.org/officeDocument/2006/relationships/hyperlink" Target="https://en.wikipedia.org/wiki/Williamson_County,_Tennessee" TargetMode="External"/><Relationship Id="rId5044" Type="http://schemas.openxmlformats.org/officeDocument/2006/relationships/hyperlink" Target="https://en.wikipedia.org/wiki/Tennessee" TargetMode="External"/><Relationship Id="rId5045" Type="http://schemas.openxmlformats.org/officeDocument/2006/relationships/hyperlink" Target="https://en.wikipedia.org/wiki/White_County,_Tennessee" TargetMode="External"/><Relationship Id="rId5048" Type="http://schemas.openxmlformats.org/officeDocument/2006/relationships/hyperlink" Target="https://en.wikipedia.org/wiki/Tennessee" TargetMode="External"/><Relationship Id="rId5049" Type="http://schemas.openxmlformats.org/officeDocument/2006/relationships/hyperlink" Target="https://en.wikipedia.org/wiki/Wilson_County,_Tennessee" TargetMode="External"/><Relationship Id="rId2800" Type="http://schemas.openxmlformats.org/officeDocument/2006/relationships/hyperlink" Target="https://en.wikipedia.org/wiki/Minnesota" TargetMode="External"/><Relationship Id="rId2801" Type="http://schemas.openxmlformats.org/officeDocument/2006/relationships/hyperlink" Target="https://en.wikipedia.org/wiki/Winona_County,_Minnesota" TargetMode="External"/><Relationship Id="rId2802" Type="http://schemas.openxmlformats.org/officeDocument/2006/relationships/hyperlink" Target="https://en.wikipedia.org/wiki/Minnesota" TargetMode="External"/><Relationship Id="rId2803" Type="http://schemas.openxmlformats.org/officeDocument/2006/relationships/hyperlink" Target="https://en.wikipedia.org/wiki/Wright_County,_Minnesota" TargetMode="External"/><Relationship Id="rId2804" Type="http://schemas.openxmlformats.org/officeDocument/2006/relationships/hyperlink" Target="https://en.wikipedia.org/wiki/Minnesota" TargetMode="External"/><Relationship Id="rId2805" Type="http://schemas.openxmlformats.org/officeDocument/2006/relationships/hyperlink" Target="https://en.wikipedia.org/wiki/Yellow_Medicine_County,_Minnesota" TargetMode="External"/><Relationship Id="rId2806" Type="http://schemas.openxmlformats.org/officeDocument/2006/relationships/hyperlink" Target="https://en.wikipedia.org/wiki/Mississippi" TargetMode="External"/><Relationship Id="rId2807" Type="http://schemas.openxmlformats.org/officeDocument/2006/relationships/hyperlink" Target="https://en.wikipedia.org/wiki/Adams_County,_Mississippi" TargetMode="External"/><Relationship Id="rId2808" Type="http://schemas.openxmlformats.org/officeDocument/2006/relationships/hyperlink" Target="https://en.wikipedia.org/wiki/Mississippi" TargetMode="External"/><Relationship Id="rId2809" Type="http://schemas.openxmlformats.org/officeDocument/2006/relationships/hyperlink" Target="https://en.wikipedia.org/wiki/Alcorn_County,_Mississippi" TargetMode="External"/><Relationship Id="rId5071" Type="http://schemas.openxmlformats.org/officeDocument/2006/relationships/hyperlink" Target="https://en.wikipedia.org/wiki/Bastrop_County,_Texas" TargetMode="External"/><Relationship Id="rId5072" Type="http://schemas.openxmlformats.org/officeDocument/2006/relationships/hyperlink" Target="https://en.wikipedia.org/wiki/Texas" TargetMode="External"/><Relationship Id="rId5070" Type="http://schemas.openxmlformats.org/officeDocument/2006/relationships/hyperlink" Target="https://en.wikipedia.org/wiki/Texas" TargetMode="External"/><Relationship Id="rId5075" Type="http://schemas.openxmlformats.org/officeDocument/2006/relationships/hyperlink" Target="https://en.wikipedia.org/wiki/Bee_County,_Texas" TargetMode="External"/><Relationship Id="rId5076" Type="http://schemas.openxmlformats.org/officeDocument/2006/relationships/hyperlink" Target="https://en.wikipedia.org/wiki/Texas" TargetMode="External"/><Relationship Id="rId5073" Type="http://schemas.openxmlformats.org/officeDocument/2006/relationships/hyperlink" Target="https://en.wikipedia.org/wiki/Baylor_County,_Texas" TargetMode="External"/><Relationship Id="rId5074" Type="http://schemas.openxmlformats.org/officeDocument/2006/relationships/hyperlink" Target="https://en.wikipedia.org/wiki/Texas" TargetMode="External"/><Relationship Id="rId5079" Type="http://schemas.openxmlformats.org/officeDocument/2006/relationships/hyperlink" Target="https://en.wikipedia.org/wiki/Bexar_County,_Texas" TargetMode="External"/><Relationship Id="rId5077" Type="http://schemas.openxmlformats.org/officeDocument/2006/relationships/hyperlink" Target="https://en.wikipedia.org/wiki/Bell_County,_Texas" TargetMode="External"/><Relationship Id="rId5078" Type="http://schemas.openxmlformats.org/officeDocument/2006/relationships/hyperlink" Target="https://en.wikipedia.org/wiki/Texas" TargetMode="External"/><Relationship Id="rId5060" Type="http://schemas.openxmlformats.org/officeDocument/2006/relationships/hyperlink" Target="https://en.wikipedia.org/wiki/Texas" TargetMode="External"/><Relationship Id="rId5061" Type="http://schemas.openxmlformats.org/officeDocument/2006/relationships/hyperlink" Target="https://en.wikipedia.org/wiki/Armstrong_County,_Texas" TargetMode="External"/><Relationship Id="rId5064" Type="http://schemas.openxmlformats.org/officeDocument/2006/relationships/hyperlink" Target="https://en.wikipedia.org/wiki/Texas" TargetMode="External"/><Relationship Id="rId5065" Type="http://schemas.openxmlformats.org/officeDocument/2006/relationships/hyperlink" Target="https://en.wikipedia.org/wiki/Austin_County,_Texas" TargetMode="External"/><Relationship Id="rId5062" Type="http://schemas.openxmlformats.org/officeDocument/2006/relationships/hyperlink" Target="https://en.wikipedia.org/wiki/Texas" TargetMode="External"/><Relationship Id="rId5063" Type="http://schemas.openxmlformats.org/officeDocument/2006/relationships/hyperlink" Target="https://en.wikipedia.org/wiki/Atascosa_County,_Texas" TargetMode="External"/><Relationship Id="rId5068" Type="http://schemas.openxmlformats.org/officeDocument/2006/relationships/hyperlink" Target="https://en.wikipedia.org/wiki/Texas" TargetMode="External"/><Relationship Id="rId5069" Type="http://schemas.openxmlformats.org/officeDocument/2006/relationships/hyperlink" Target="https://en.wikipedia.org/wiki/Bandera_County,_Texas" TargetMode="External"/><Relationship Id="rId5066" Type="http://schemas.openxmlformats.org/officeDocument/2006/relationships/hyperlink" Target="https://en.wikipedia.org/wiki/Texas" TargetMode="External"/><Relationship Id="rId5067" Type="http://schemas.openxmlformats.org/officeDocument/2006/relationships/hyperlink" Target="https://en.wikipedia.org/wiki/Bailey_County,_Texas" TargetMode="External"/><Relationship Id="rId1576" Type="http://schemas.openxmlformats.org/officeDocument/2006/relationships/hyperlink" Target="https://en.wikipedia.org/wiki/Indiana" TargetMode="External"/><Relationship Id="rId1577" Type="http://schemas.openxmlformats.org/officeDocument/2006/relationships/hyperlink" Target="https://en.wikipedia.org/wiki/Wells_County,_Indiana" TargetMode="External"/><Relationship Id="rId1578" Type="http://schemas.openxmlformats.org/officeDocument/2006/relationships/hyperlink" Target="https://en.wikipedia.org/wiki/Indiana" TargetMode="External"/><Relationship Id="rId1579" Type="http://schemas.openxmlformats.org/officeDocument/2006/relationships/hyperlink" Target="https://en.wikipedia.org/wiki/White_County,_Indiana" TargetMode="External"/><Relationship Id="rId987" Type="http://schemas.openxmlformats.org/officeDocument/2006/relationships/hyperlink" Target="https://en.wikipedia.org/wiki/Murray_County,_Georgia" TargetMode="External"/><Relationship Id="rId986" Type="http://schemas.openxmlformats.org/officeDocument/2006/relationships/hyperlink" Target="https://en.wikipedia.org/wiki/Georgia_(U.S._state)" TargetMode="External"/><Relationship Id="rId985" Type="http://schemas.openxmlformats.org/officeDocument/2006/relationships/hyperlink" Target="https://en.wikipedia.org/wiki/Morgan_County,_Georgia" TargetMode="External"/><Relationship Id="rId984" Type="http://schemas.openxmlformats.org/officeDocument/2006/relationships/hyperlink" Target="https://en.wikipedia.org/wiki/Georgia_(U.S._state)" TargetMode="External"/><Relationship Id="rId989" Type="http://schemas.openxmlformats.org/officeDocument/2006/relationships/hyperlink" Target="https://en.wikipedia.org/wiki/Muscogee_County,_Georgia" TargetMode="External"/><Relationship Id="rId988" Type="http://schemas.openxmlformats.org/officeDocument/2006/relationships/hyperlink" Target="https://en.wikipedia.org/wiki/Georgia_(U.S._state)" TargetMode="External"/><Relationship Id="rId1570" Type="http://schemas.openxmlformats.org/officeDocument/2006/relationships/hyperlink" Target="https://en.wikipedia.org/wiki/Indiana" TargetMode="External"/><Relationship Id="rId1571" Type="http://schemas.openxmlformats.org/officeDocument/2006/relationships/hyperlink" Target="https://en.wikipedia.org/wiki/Warrick_County,_Indiana" TargetMode="External"/><Relationship Id="rId983" Type="http://schemas.openxmlformats.org/officeDocument/2006/relationships/hyperlink" Target="https://en.wikipedia.org/wiki/Montgomery_County,_Georgia" TargetMode="External"/><Relationship Id="rId1572" Type="http://schemas.openxmlformats.org/officeDocument/2006/relationships/hyperlink" Target="https://en.wikipedia.org/wiki/Indiana" TargetMode="External"/><Relationship Id="rId982" Type="http://schemas.openxmlformats.org/officeDocument/2006/relationships/hyperlink" Target="https://en.wikipedia.org/wiki/Georgia_(U.S._state)" TargetMode="External"/><Relationship Id="rId1573" Type="http://schemas.openxmlformats.org/officeDocument/2006/relationships/hyperlink" Target="https://en.wikipedia.org/wiki/Washington_County,_Indiana" TargetMode="External"/><Relationship Id="rId981" Type="http://schemas.openxmlformats.org/officeDocument/2006/relationships/hyperlink" Target="https://en.wikipedia.org/wiki/Monroe_County,_Georgia" TargetMode="External"/><Relationship Id="rId1574" Type="http://schemas.openxmlformats.org/officeDocument/2006/relationships/hyperlink" Target="https://en.wikipedia.org/wiki/Indiana" TargetMode="External"/><Relationship Id="rId980" Type="http://schemas.openxmlformats.org/officeDocument/2006/relationships/hyperlink" Target="https://en.wikipedia.org/wiki/Georgia_(U.S._state)" TargetMode="External"/><Relationship Id="rId1575" Type="http://schemas.openxmlformats.org/officeDocument/2006/relationships/hyperlink" Target="https://en.wikipedia.org/wiki/Wayne_County,_Indiana" TargetMode="External"/><Relationship Id="rId1565" Type="http://schemas.openxmlformats.org/officeDocument/2006/relationships/hyperlink" Target="https://en.wikipedia.org/wiki/Vigo_County,_Indiana" TargetMode="External"/><Relationship Id="rId2896" Type="http://schemas.openxmlformats.org/officeDocument/2006/relationships/hyperlink" Target="https://en.wikipedia.org/wiki/Mississippi" TargetMode="External"/><Relationship Id="rId1566" Type="http://schemas.openxmlformats.org/officeDocument/2006/relationships/hyperlink" Target="https://en.wikipedia.org/wiki/Indiana" TargetMode="External"/><Relationship Id="rId2897" Type="http://schemas.openxmlformats.org/officeDocument/2006/relationships/hyperlink" Target="https://en.wikipedia.org/wiki/Marion_County,_Mississippi" TargetMode="External"/><Relationship Id="rId1567" Type="http://schemas.openxmlformats.org/officeDocument/2006/relationships/hyperlink" Target="https://en.wikipedia.org/wiki/Wabash_County,_Indiana" TargetMode="External"/><Relationship Id="rId2898" Type="http://schemas.openxmlformats.org/officeDocument/2006/relationships/hyperlink" Target="https://en.wikipedia.org/wiki/Mississippi" TargetMode="External"/><Relationship Id="rId1568" Type="http://schemas.openxmlformats.org/officeDocument/2006/relationships/hyperlink" Target="https://en.wikipedia.org/wiki/Indiana" TargetMode="External"/><Relationship Id="rId2899" Type="http://schemas.openxmlformats.org/officeDocument/2006/relationships/hyperlink" Target="https://en.wikipedia.org/wiki/Marshall_County,_Mississippi" TargetMode="External"/><Relationship Id="rId1569" Type="http://schemas.openxmlformats.org/officeDocument/2006/relationships/hyperlink" Target="https://en.wikipedia.org/wiki/Warren_County,_Indiana" TargetMode="External"/><Relationship Id="rId976" Type="http://schemas.openxmlformats.org/officeDocument/2006/relationships/hyperlink" Target="https://en.wikipedia.org/wiki/Georgia_(U.S._state)" TargetMode="External"/><Relationship Id="rId975" Type="http://schemas.openxmlformats.org/officeDocument/2006/relationships/hyperlink" Target="https://en.wikipedia.org/wiki/Meriwether_County,_Georgia" TargetMode="External"/><Relationship Id="rId974" Type="http://schemas.openxmlformats.org/officeDocument/2006/relationships/hyperlink" Target="https://en.wikipedia.org/wiki/Georgia_(U.S._state)" TargetMode="External"/><Relationship Id="rId973" Type="http://schemas.openxmlformats.org/officeDocument/2006/relationships/hyperlink" Target="https://en.wikipedia.org/wiki/Marion_County,_Georgia" TargetMode="External"/><Relationship Id="rId979" Type="http://schemas.openxmlformats.org/officeDocument/2006/relationships/hyperlink" Target="https://en.wikipedia.org/wiki/Mitchell_County,_Georgia" TargetMode="External"/><Relationship Id="rId978" Type="http://schemas.openxmlformats.org/officeDocument/2006/relationships/hyperlink" Target="https://en.wikipedia.org/wiki/Georgia_(U.S._state)" TargetMode="External"/><Relationship Id="rId977" Type="http://schemas.openxmlformats.org/officeDocument/2006/relationships/hyperlink" Target="https://en.wikipedia.org/wiki/Miller_County,_Georgia" TargetMode="External"/><Relationship Id="rId2890" Type="http://schemas.openxmlformats.org/officeDocument/2006/relationships/hyperlink" Target="https://en.wikipedia.org/wiki/Mississippi" TargetMode="External"/><Relationship Id="rId1560" Type="http://schemas.openxmlformats.org/officeDocument/2006/relationships/hyperlink" Target="https://en.wikipedia.org/wiki/Indiana" TargetMode="External"/><Relationship Id="rId2891" Type="http://schemas.openxmlformats.org/officeDocument/2006/relationships/hyperlink" Target="https://en.wikipedia.org/wiki/Lincoln_County,_Mississippi" TargetMode="External"/><Relationship Id="rId972" Type="http://schemas.openxmlformats.org/officeDocument/2006/relationships/hyperlink" Target="https://en.wikipedia.org/wiki/Georgia_(U.S._state)" TargetMode="External"/><Relationship Id="rId1561" Type="http://schemas.openxmlformats.org/officeDocument/2006/relationships/hyperlink" Target="https://en.wikipedia.org/wiki/Vanderburgh_County,_Indiana" TargetMode="External"/><Relationship Id="rId2892" Type="http://schemas.openxmlformats.org/officeDocument/2006/relationships/hyperlink" Target="https://en.wikipedia.org/wiki/Mississippi" TargetMode="External"/><Relationship Id="rId971" Type="http://schemas.openxmlformats.org/officeDocument/2006/relationships/hyperlink" Target="https://en.wikipedia.org/wiki/Madison_County,_Georgia" TargetMode="External"/><Relationship Id="rId1562" Type="http://schemas.openxmlformats.org/officeDocument/2006/relationships/hyperlink" Target="https://en.wikipedia.org/wiki/Indiana" TargetMode="External"/><Relationship Id="rId2893" Type="http://schemas.openxmlformats.org/officeDocument/2006/relationships/hyperlink" Target="https://en.wikipedia.org/wiki/Lowndes_County,_Mississippi" TargetMode="External"/><Relationship Id="rId970" Type="http://schemas.openxmlformats.org/officeDocument/2006/relationships/hyperlink" Target="https://en.wikipedia.org/wiki/Georgia_(U.S._state)" TargetMode="External"/><Relationship Id="rId1563" Type="http://schemas.openxmlformats.org/officeDocument/2006/relationships/hyperlink" Target="https://en.wikipedia.org/wiki/Vermillion_County,_Indiana" TargetMode="External"/><Relationship Id="rId2894" Type="http://schemas.openxmlformats.org/officeDocument/2006/relationships/hyperlink" Target="https://en.wikipedia.org/wiki/Mississippi" TargetMode="External"/><Relationship Id="rId1564" Type="http://schemas.openxmlformats.org/officeDocument/2006/relationships/hyperlink" Target="https://en.wikipedia.org/wiki/Indiana" TargetMode="External"/><Relationship Id="rId2895" Type="http://schemas.openxmlformats.org/officeDocument/2006/relationships/hyperlink" Target="https://en.wikipedia.org/wiki/Madison_County,_Mississippi" TargetMode="External"/><Relationship Id="rId1598" Type="http://schemas.openxmlformats.org/officeDocument/2006/relationships/hyperlink" Target="https://en.wikipedia.org/wiki/Iowa" TargetMode="External"/><Relationship Id="rId1599" Type="http://schemas.openxmlformats.org/officeDocument/2006/relationships/hyperlink" Target="https://en.wikipedia.org/wiki/Bremer_County,_Iowa" TargetMode="External"/><Relationship Id="rId1590" Type="http://schemas.openxmlformats.org/officeDocument/2006/relationships/hyperlink" Target="https://en.wikipedia.org/wiki/Iowa" TargetMode="External"/><Relationship Id="rId1591" Type="http://schemas.openxmlformats.org/officeDocument/2006/relationships/hyperlink" Target="https://en.wikipedia.org/wiki/Audubon_County,_Iowa" TargetMode="External"/><Relationship Id="rId1592" Type="http://schemas.openxmlformats.org/officeDocument/2006/relationships/hyperlink" Target="https://en.wikipedia.org/wiki/Iowa" TargetMode="External"/><Relationship Id="rId1593" Type="http://schemas.openxmlformats.org/officeDocument/2006/relationships/hyperlink" Target="https://en.wikipedia.org/wiki/Benton_County,_Iowa" TargetMode="External"/><Relationship Id="rId1594" Type="http://schemas.openxmlformats.org/officeDocument/2006/relationships/hyperlink" Target="https://en.wikipedia.org/wiki/Iowa" TargetMode="External"/><Relationship Id="rId1595" Type="http://schemas.openxmlformats.org/officeDocument/2006/relationships/hyperlink" Target="https://en.wikipedia.org/wiki/Black_Hawk_County,_Iowa" TargetMode="External"/><Relationship Id="rId1596" Type="http://schemas.openxmlformats.org/officeDocument/2006/relationships/hyperlink" Target="https://en.wikipedia.org/wiki/Iowa" TargetMode="External"/><Relationship Id="rId1597" Type="http://schemas.openxmlformats.org/officeDocument/2006/relationships/hyperlink" Target="https://en.wikipedia.org/wiki/Boone_County,_Iowa" TargetMode="External"/><Relationship Id="rId1587" Type="http://schemas.openxmlformats.org/officeDocument/2006/relationships/hyperlink" Target="https://en.wikipedia.org/wiki/Allamakee_County,_Iowa" TargetMode="External"/><Relationship Id="rId1588" Type="http://schemas.openxmlformats.org/officeDocument/2006/relationships/hyperlink" Target="https://en.wikipedia.org/wiki/Iowa" TargetMode="External"/><Relationship Id="rId1589" Type="http://schemas.openxmlformats.org/officeDocument/2006/relationships/hyperlink" Target="https://en.wikipedia.org/wiki/Appanoose_County,_Iowa" TargetMode="External"/><Relationship Id="rId998" Type="http://schemas.openxmlformats.org/officeDocument/2006/relationships/hyperlink" Target="https://en.wikipedia.org/wiki/Georgia_(U.S._state)" TargetMode="External"/><Relationship Id="rId997" Type="http://schemas.openxmlformats.org/officeDocument/2006/relationships/hyperlink" Target="https://en.wikipedia.org/wiki/Paulding_County,_Georgia" TargetMode="External"/><Relationship Id="rId996" Type="http://schemas.openxmlformats.org/officeDocument/2006/relationships/hyperlink" Target="https://en.wikipedia.org/wiki/Georgia_(U.S._state)" TargetMode="External"/><Relationship Id="rId995" Type="http://schemas.openxmlformats.org/officeDocument/2006/relationships/hyperlink" Target="https://en.wikipedia.org/wiki/Oglethorpe_County,_Georgia" TargetMode="External"/><Relationship Id="rId999" Type="http://schemas.openxmlformats.org/officeDocument/2006/relationships/hyperlink" Target="https://en.wikipedia.org/wiki/Peach_County,_Georgia" TargetMode="External"/><Relationship Id="rId990" Type="http://schemas.openxmlformats.org/officeDocument/2006/relationships/hyperlink" Target="https://en.wikipedia.org/wiki/Georgia_(U.S._state)" TargetMode="External"/><Relationship Id="rId1580" Type="http://schemas.openxmlformats.org/officeDocument/2006/relationships/hyperlink" Target="https://en.wikipedia.org/wiki/Indiana" TargetMode="External"/><Relationship Id="rId1581" Type="http://schemas.openxmlformats.org/officeDocument/2006/relationships/hyperlink" Target="https://en.wikipedia.org/wiki/Whitley_County,_Indiana" TargetMode="External"/><Relationship Id="rId1582" Type="http://schemas.openxmlformats.org/officeDocument/2006/relationships/hyperlink" Target="https://en.wikipedia.org/wiki/Iowa" TargetMode="External"/><Relationship Id="rId994" Type="http://schemas.openxmlformats.org/officeDocument/2006/relationships/hyperlink" Target="https://en.wikipedia.org/wiki/Georgia_(U.S._state)" TargetMode="External"/><Relationship Id="rId1583" Type="http://schemas.openxmlformats.org/officeDocument/2006/relationships/hyperlink" Target="https://en.wikipedia.org/wiki/Adair_County,_Iowa" TargetMode="External"/><Relationship Id="rId993" Type="http://schemas.openxmlformats.org/officeDocument/2006/relationships/hyperlink" Target="https://en.wikipedia.org/wiki/Oconee_County,_Georgia" TargetMode="External"/><Relationship Id="rId1584" Type="http://schemas.openxmlformats.org/officeDocument/2006/relationships/hyperlink" Target="https://en.wikipedia.org/wiki/Iowa" TargetMode="External"/><Relationship Id="rId992" Type="http://schemas.openxmlformats.org/officeDocument/2006/relationships/hyperlink" Target="https://en.wikipedia.org/wiki/Georgia_(U.S._state)" TargetMode="External"/><Relationship Id="rId1585" Type="http://schemas.openxmlformats.org/officeDocument/2006/relationships/hyperlink" Target="https://en.wikipedia.org/wiki/Adams_County,_Iowa" TargetMode="External"/><Relationship Id="rId991" Type="http://schemas.openxmlformats.org/officeDocument/2006/relationships/hyperlink" Target="https://en.wikipedia.org/wiki/Newton_County,_Georgia" TargetMode="External"/><Relationship Id="rId1586" Type="http://schemas.openxmlformats.org/officeDocument/2006/relationships/hyperlink" Target="https://en.wikipedia.org/wiki/Iowa" TargetMode="External"/><Relationship Id="rId1532" Type="http://schemas.openxmlformats.org/officeDocument/2006/relationships/hyperlink" Target="https://en.wikipedia.org/wiki/Indiana" TargetMode="External"/><Relationship Id="rId2863" Type="http://schemas.openxmlformats.org/officeDocument/2006/relationships/hyperlink" Target="https://en.wikipedia.org/wiki/Itawamba_County,_Mississippi" TargetMode="External"/><Relationship Id="rId1533" Type="http://schemas.openxmlformats.org/officeDocument/2006/relationships/hyperlink" Target="https://en.wikipedia.org/wiki/Randolph_County,_Indiana" TargetMode="External"/><Relationship Id="rId2864" Type="http://schemas.openxmlformats.org/officeDocument/2006/relationships/hyperlink" Target="https://en.wikipedia.org/wiki/Mississippi" TargetMode="External"/><Relationship Id="rId1534" Type="http://schemas.openxmlformats.org/officeDocument/2006/relationships/hyperlink" Target="https://en.wikipedia.org/wiki/Indiana" TargetMode="External"/><Relationship Id="rId2865" Type="http://schemas.openxmlformats.org/officeDocument/2006/relationships/hyperlink" Target="https://en.wikipedia.org/wiki/Jackson_County,_Mississippi" TargetMode="External"/><Relationship Id="rId1535" Type="http://schemas.openxmlformats.org/officeDocument/2006/relationships/hyperlink" Target="https://en.wikipedia.org/wiki/Ripley_County,_Indiana" TargetMode="External"/><Relationship Id="rId2866" Type="http://schemas.openxmlformats.org/officeDocument/2006/relationships/hyperlink" Target="https://en.wikipedia.org/wiki/Mississippi" TargetMode="External"/><Relationship Id="rId1536" Type="http://schemas.openxmlformats.org/officeDocument/2006/relationships/hyperlink" Target="https://en.wikipedia.org/wiki/Indiana" TargetMode="External"/><Relationship Id="rId2867" Type="http://schemas.openxmlformats.org/officeDocument/2006/relationships/hyperlink" Target="https://en.wikipedia.org/wiki/Jasper_County,_Mississippi" TargetMode="External"/><Relationship Id="rId1537" Type="http://schemas.openxmlformats.org/officeDocument/2006/relationships/hyperlink" Target="https://en.wikipedia.org/wiki/Rush_County,_Indiana" TargetMode="External"/><Relationship Id="rId2868" Type="http://schemas.openxmlformats.org/officeDocument/2006/relationships/hyperlink" Target="https://en.wikipedia.org/wiki/Mississippi" TargetMode="External"/><Relationship Id="rId1538" Type="http://schemas.openxmlformats.org/officeDocument/2006/relationships/hyperlink" Target="https://en.wikipedia.org/wiki/Indiana" TargetMode="External"/><Relationship Id="rId2869" Type="http://schemas.openxmlformats.org/officeDocument/2006/relationships/hyperlink" Target="https://en.wikipedia.org/wiki/Jefferson_County,_Mississippi" TargetMode="External"/><Relationship Id="rId1539" Type="http://schemas.openxmlformats.org/officeDocument/2006/relationships/hyperlink" Target="https://en.wikipedia.org/wiki/St._Joseph_County,_Indiana" TargetMode="External"/><Relationship Id="rId949" Type="http://schemas.openxmlformats.org/officeDocument/2006/relationships/hyperlink" Target="https://en.wikipedia.org/wiki/Lanier_County,_Georgia" TargetMode="External"/><Relationship Id="rId948" Type="http://schemas.openxmlformats.org/officeDocument/2006/relationships/hyperlink" Target="https://en.wikipedia.org/wiki/Georgia_(U.S._state)" TargetMode="External"/><Relationship Id="rId943" Type="http://schemas.openxmlformats.org/officeDocument/2006/relationships/hyperlink" Target="https://en.wikipedia.org/wiki/Johnson_County,_Georgia" TargetMode="External"/><Relationship Id="rId942" Type="http://schemas.openxmlformats.org/officeDocument/2006/relationships/hyperlink" Target="https://en.wikipedia.org/wiki/Georgia_(U.S._state)" TargetMode="External"/><Relationship Id="rId941" Type="http://schemas.openxmlformats.org/officeDocument/2006/relationships/hyperlink" Target="https://en.wikipedia.org/wiki/Jenkins_County,_Georgia" TargetMode="External"/><Relationship Id="rId940" Type="http://schemas.openxmlformats.org/officeDocument/2006/relationships/hyperlink" Target="https://en.wikipedia.org/wiki/Georgia_(U.S._state)" TargetMode="External"/><Relationship Id="rId947" Type="http://schemas.openxmlformats.org/officeDocument/2006/relationships/hyperlink" Target="https://en.wikipedia.org/wiki/Lamar_County,_Georgia" TargetMode="External"/><Relationship Id="rId946" Type="http://schemas.openxmlformats.org/officeDocument/2006/relationships/hyperlink" Target="https://en.wikipedia.org/wiki/Georgia_(U.S._state)" TargetMode="External"/><Relationship Id="rId945" Type="http://schemas.openxmlformats.org/officeDocument/2006/relationships/hyperlink" Target="https://en.wikipedia.org/wiki/Jones_County,_Georgia" TargetMode="External"/><Relationship Id="rId944" Type="http://schemas.openxmlformats.org/officeDocument/2006/relationships/hyperlink" Target="https://en.wikipedia.org/wiki/Georgia_(U.S._state)" TargetMode="External"/><Relationship Id="rId2860" Type="http://schemas.openxmlformats.org/officeDocument/2006/relationships/hyperlink" Target="https://en.wikipedia.org/wiki/Mississippi" TargetMode="External"/><Relationship Id="rId1530" Type="http://schemas.openxmlformats.org/officeDocument/2006/relationships/hyperlink" Target="https://en.wikipedia.org/wiki/Indiana" TargetMode="External"/><Relationship Id="rId2861" Type="http://schemas.openxmlformats.org/officeDocument/2006/relationships/hyperlink" Target="https://en.wikipedia.org/wiki/Issaquena_County,_Mississippi" TargetMode="External"/><Relationship Id="rId1531" Type="http://schemas.openxmlformats.org/officeDocument/2006/relationships/hyperlink" Target="https://en.wikipedia.org/wiki/Putnam_County,_Indiana" TargetMode="External"/><Relationship Id="rId2862" Type="http://schemas.openxmlformats.org/officeDocument/2006/relationships/hyperlink" Target="https://en.wikipedia.org/wiki/Mississippi" TargetMode="External"/><Relationship Id="rId1521" Type="http://schemas.openxmlformats.org/officeDocument/2006/relationships/hyperlink" Target="https://en.wikipedia.org/wiki/Perry_County,_Indiana" TargetMode="External"/><Relationship Id="rId2852" Type="http://schemas.openxmlformats.org/officeDocument/2006/relationships/hyperlink" Target="https://en.wikipedia.org/wiki/Mississippi" TargetMode="External"/><Relationship Id="rId1522" Type="http://schemas.openxmlformats.org/officeDocument/2006/relationships/hyperlink" Target="https://en.wikipedia.org/wiki/Indiana" TargetMode="External"/><Relationship Id="rId2853" Type="http://schemas.openxmlformats.org/officeDocument/2006/relationships/hyperlink" Target="https://en.wikipedia.org/wiki/Harrison_County,_Mississippi" TargetMode="External"/><Relationship Id="rId1523" Type="http://schemas.openxmlformats.org/officeDocument/2006/relationships/hyperlink" Target="https://en.wikipedia.org/wiki/Pike_County,_Indiana" TargetMode="External"/><Relationship Id="rId2854" Type="http://schemas.openxmlformats.org/officeDocument/2006/relationships/hyperlink" Target="https://en.wikipedia.org/wiki/Mississippi" TargetMode="External"/><Relationship Id="rId1524" Type="http://schemas.openxmlformats.org/officeDocument/2006/relationships/hyperlink" Target="https://en.wikipedia.org/wiki/Indiana" TargetMode="External"/><Relationship Id="rId2855" Type="http://schemas.openxmlformats.org/officeDocument/2006/relationships/hyperlink" Target="https://en.wikipedia.org/wiki/Hinds_County,_Mississippi" TargetMode="External"/><Relationship Id="rId1525" Type="http://schemas.openxmlformats.org/officeDocument/2006/relationships/hyperlink" Target="https://en.wikipedia.org/wiki/Porter_County,_Indiana" TargetMode="External"/><Relationship Id="rId2856" Type="http://schemas.openxmlformats.org/officeDocument/2006/relationships/hyperlink" Target="https://en.wikipedia.org/wiki/Mississippi" TargetMode="External"/><Relationship Id="rId1526" Type="http://schemas.openxmlformats.org/officeDocument/2006/relationships/hyperlink" Target="https://en.wikipedia.org/wiki/Indiana" TargetMode="External"/><Relationship Id="rId2857" Type="http://schemas.openxmlformats.org/officeDocument/2006/relationships/hyperlink" Target="https://en.wikipedia.org/wiki/Holmes_County,_Mississippi" TargetMode="External"/><Relationship Id="rId1527" Type="http://schemas.openxmlformats.org/officeDocument/2006/relationships/hyperlink" Target="https://en.wikipedia.org/wiki/Posey_County,_Indiana" TargetMode="External"/><Relationship Id="rId2858" Type="http://schemas.openxmlformats.org/officeDocument/2006/relationships/hyperlink" Target="https://en.wikipedia.org/wiki/Mississippi" TargetMode="External"/><Relationship Id="rId1528" Type="http://schemas.openxmlformats.org/officeDocument/2006/relationships/hyperlink" Target="https://en.wikipedia.org/wiki/Indiana" TargetMode="External"/><Relationship Id="rId2859" Type="http://schemas.openxmlformats.org/officeDocument/2006/relationships/hyperlink" Target="https://en.wikipedia.org/wiki/Humphreys_County,_Mississippi" TargetMode="External"/><Relationship Id="rId1529" Type="http://schemas.openxmlformats.org/officeDocument/2006/relationships/hyperlink" Target="https://en.wikipedia.org/wiki/Pulaski_County,_Indiana" TargetMode="External"/><Relationship Id="rId939" Type="http://schemas.openxmlformats.org/officeDocument/2006/relationships/hyperlink" Target="https://en.wikipedia.org/wiki/Jefferson_County,_Georgia" TargetMode="External"/><Relationship Id="rId938" Type="http://schemas.openxmlformats.org/officeDocument/2006/relationships/hyperlink" Target="https://en.wikipedia.org/wiki/Georgia_(U.S._state)" TargetMode="External"/><Relationship Id="rId937" Type="http://schemas.openxmlformats.org/officeDocument/2006/relationships/hyperlink" Target="https://en.wikipedia.org/wiki/Jeff_Davis_County,_Georgia" TargetMode="External"/><Relationship Id="rId932" Type="http://schemas.openxmlformats.org/officeDocument/2006/relationships/hyperlink" Target="https://en.wikipedia.org/wiki/Georgia_(U.S._state)" TargetMode="External"/><Relationship Id="rId931" Type="http://schemas.openxmlformats.org/officeDocument/2006/relationships/hyperlink" Target="https://en.wikipedia.org/wiki/Irwin_County,_Georgia" TargetMode="External"/><Relationship Id="rId930" Type="http://schemas.openxmlformats.org/officeDocument/2006/relationships/hyperlink" Target="https://en.wikipedia.org/wiki/Georgia_(U.S._state)" TargetMode="External"/><Relationship Id="rId936" Type="http://schemas.openxmlformats.org/officeDocument/2006/relationships/hyperlink" Target="https://en.wikipedia.org/wiki/Georgia_(U.S._state)" TargetMode="External"/><Relationship Id="rId935" Type="http://schemas.openxmlformats.org/officeDocument/2006/relationships/hyperlink" Target="https://en.wikipedia.org/wiki/Jasper_County,_Georgia" TargetMode="External"/><Relationship Id="rId934" Type="http://schemas.openxmlformats.org/officeDocument/2006/relationships/hyperlink" Target="https://en.wikipedia.org/wiki/Georgia_(U.S._state)" TargetMode="External"/><Relationship Id="rId933" Type="http://schemas.openxmlformats.org/officeDocument/2006/relationships/hyperlink" Target="https://en.wikipedia.org/wiki/Jackson_County,_Georgia" TargetMode="External"/><Relationship Id="rId2850" Type="http://schemas.openxmlformats.org/officeDocument/2006/relationships/hyperlink" Target="https://en.wikipedia.org/wiki/Mississippi" TargetMode="External"/><Relationship Id="rId1520" Type="http://schemas.openxmlformats.org/officeDocument/2006/relationships/hyperlink" Target="https://en.wikipedia.org/wiki/Indiana" TargetMode="External"/><Relationship Id="rId2851" Type="http://schemas.openxmlformats.org/officeDocument/2006/relationships/hyperlink" Target="https://en.wikipedia.org/wiki/Hancock_County,_Mississippi" TargetMode="External"/><Relationship Id="rId1554" Type="http://schemas.openxmlformats.org/officeDocument/2006/relationships/hyperlink" Target="https://en.wikipedia.org/wiki/Indiana" TargetMode="External"/><Relationship Id="rId2885" Type="http://schemas.openxmlformats.org/officeDocument/2006/relationships/hyperlink" Target="https://en.wikipedia.org/wiki/Leake_County,_Mississippi" TargetMode="External"/><Relationship Id="rId1555" Type="http://schemas.openxmlformats.org/officeDocument/2006/relationships/hyperlink" Target="https://en.wikipedia.org/wiki/Tippecanoe_County,_Indiana" TargetMode="External"/><Relationship Id="rId2886" Type="http://schemas.openxmlformats.org/officeDocument/2006/relationships/hyperlink" Target="https://en.wikipedia.org/wiki/Mississippi" TargetMode="External"/><Relationship Id="rId1556" Type="http://schemas.openxmlformats.org/officeDocument/2006/relationships/hyperlink" Target="https://en.wikipedia.org/wiki/Indiana" TargetMode="External"/><Relationship Id="rId2887" Type="http://schemas.openxmlformats.org/officeDocument/2006/relationships/hyperlink" Target="https://en.wikipedia.org/wiki/Lee_County,_Mississippi" TargetMode="External"/><Relationship Id="rId1557" Type="http://schemas.openxmlformats.org/officeDocument/2006/relationships/hyperlink" Target="https://en.wikipedia.org/wiki/Tipton_County,_Indiana" TargetMode="External"/><Relationship Id="rId2888" Type="http://schemas.openxmlformats.org/officeDocument/2006/relationships/hyperlink" Target="https://en.wikipedia.org/wiki/Mississippi" TargetMode="External"/><Relationship Id="rId1558" Type="http://schemas.openxmlformats.org/officeDocument/2006/relationships/hyperlink" Target="https://en.wikipedia.org/wiki/Indiana" TargetMode="External"/><Relationship Id="rId2889" Type="http://schemas.openxmlformats.org/officeDocument/2006/relationships/hyperlink" Target="https://en.wikipedia.org/wiki/Leflore_County,_Mississippi" TargetMode="External"/><Relationship Id="rId1559" Type="http://schemas.openxmlformats.org/officeDocument/2006/relationships/hyperlink" Target="https://en.wikipedia.org/wiki/Union_County,_Indiana" TargetMode="External"/><Relationship Id="rId965" Type="http://schemas.openxmlformats.org/officeDocument/2006/relationships/hyperlink" Target="https://en.wikipedia.org/wiki/McDuffie_County,_Georgia" TargetMode="External"/><Relationship Id="rId964" Type="http://schemas.openxmlformats.org/officeDocument/2006/relationships/hyperlink" Target="https://en.wikipedia.org/wiki/Georgia_(U.S._state)" TargetMode="External"/><Relationship Id="rId963" Type="http://schemas.openxmlformats.org/officeDocument/2006/relationships/hyperlink" Target="https://en.wikipedia.org/wiki/Lumpkin_County,_Georgia" TargetMode="External"/><Relationship Id="rId962" Type="http://schemas.openxmlformats.org/officeDocument/2006/relationships/hyperlink" Target="https://en.wikipedia.org/wiki/Georgia_(U.S._state)" TargetMode="External"/><Relationship Id="rId969" Type="http://schemas.openxmlformats.org/officeDocument/2006/relationships/hyperlink" Target="https://en.wikipedia.org/wiki/Macon_County,_Georgia" TargetMode="External"/><Relationship Id="rId968" Type="http://schemas.openxmlformats.org/officeDocument/2006/relationships/hyperlink" Target="https://en.wikipedia.org/wiki/Georgia_(U.S._state)" TargetMode="External"/><Relationship Id="rId967" Type="http://schemas.openxmlformats.org/officeDocument/2006/relationships/hyperlink" Target="https://en.wikipedia.org/wiki/McIntosh_County,_Georgia" TargetMode="External"/><Relationship Id="rId966" Type="http://schemas.openxmlformats.org/officeDocument/2006/relationships/hyperlink" Target="https://en.wikipedia.org/wiki/Georgia_(U.S._state)" TargetMode="External"/><Relationship Id="rId2880" Type="http://schemas.openxmlformats.org/officeDocument/2006/relationships/hyperlink" Target="https://en.wikipedia.org/wiki/Mississippi" TargetMode="External"/><Relationship Id="rId961" Type="http://schemas.openxmlformats.org/officeDocument/2006/relationships/hyperlink" Target="https://en.wikipedia.org/wiki/Lowndes_County,_Georgia" TargetMode="External"/><Relationship Id="rId1550" Type="http://schemas.openxmlformats.org/officeDocument/2006/relationships/hyperlink" Target="https://en.wikipedia.org/wiki/Indiana" TargetMode="External"/><Relationship Id="rId2881" Type="http://schemas.openxmlformats.org/officeDocument/2006/relationships/hyperlink" Target="https://en.wikipedia.org/wiki/Lauderdale_County,_Mississippi" TargetMode="External"/><Relationship Id="rId960" Type="http://schemas.openxmlformats.org/officeDocument/2006/relationships/hyperlink" Target="https://en.wikipedia.org/wiki/Georgia_(U.S._state)" TargetMode="External"/><Relationship Id="rId1551" Type="http://schemas.openxmlformats.org/officeDocument/2006/relationships/hyperlink" Target="https://en.wikipedia.org/wiki/Sullivan_County,_Indiana" TargetMode="External"/><Relationship Id="rId2882" Type="http://schemas.openxmlformats.org/officeDocument/2006/relationships/hyperlink" Target="https://en.wikipedia.org/wiki/Mississippi" TargetMode="External"/><Relationship Id="rId1552" Type="http://schemas.openxmlformats.org/officeDocument/2006/relationships/hyperlink" Target="https://en.wikipedia.org/wiki/Indiana" TargetMode="External"/><Relationship Id="rId2883" Type="http://schemas.openxmlformats.org/officeDocument/2006/relationships/hyperlink" Target="https://en.wikipedia.org/wiki/Lawrence_County,_Mississippi" TargetMode="External"/><Relationship Id="rId1553" Type="http://schemas.openxmlformats.org/officeDocument/2006/relationships/hyperlink" Target="https://en.wikipedia.org/wiki/Switzerland_County,_Indiana" TargetMode="External"/><Relationship Id="rId2884" Type="http://schemas.openxmlformats.org/officeDocument/2006/relationships/hyperlink" Target="https://en.wikipedia.org/wiki/Mississippi" TargetMode="External"/><Relationship Id="rId1543" Type="http://schemas.openxmlformats.org/officeDocument/2006/relationships/hyperlink" Target="https://en.wikipedia.org/wiki/Shelby_County,_Indiana" TargetMode="External"/><Relationship Id="rId2874" Type="http://schemas.openxmlformats.org/officeDocument/2006/relationships/hyperlink" Target="https://en.wikipedia.org/wiki/Mississippi" TargetMode="External"/><Relationship Id="rId1544" Type="http://schemas.openxmlformats.org/officeDocument/2006/relationships/hyperlink" Target="https://en.wikipedia.org/wiki/Indiana" TargetMode="External"/><Relationship Id="rId2875" Type="http://schemas.openxmlformats.org/officeDocument/2006/relationships/hyperlink" Target="https://en.wikipedia.org/wiki/Kemper_County,_Mississippi" TargetMode="External"/><Relationship Id="rId1545" Type="http://schemas.openxmlformats.org/officeDocument/2006/relationships/hyperlink" Target="https://en.wikipedia.org/wiki/Spencer_County,_Indiana" TargetMode="External"/><Relationship Id="rId2876" Type="http://schemas.openxmlformats.org/officeDocument/2006/relationships/hyperlink" Target="https://en.wikipedia.org/wiki/Mississippi" TargetMode="External"/><Relationship Id="rId1546" Type="http://schemas.openxmlformats.org/officeDocument/2006/relationships/hyperlink" Target="https://en.wikipedia.org/wiki/Indiana" TargetMode="External"/><Relationship Id="rId2877" Type="http://schemas.openxmlformats.org/officeDocument/2006/relationships/hyperlink" Target="https://en.wikipedia.org/wiki/Lafayette_County,_Mississippi" TargetMode="External"/><Relationship Id="rId1547" Type="http://schemas.openxmlformats.org/officeDocument/2006/relationships/hyperlink" Target="https://en.wikipedia.org/wiki/Starke_County,_Indiana" TargetMode="External"/><Relationship Id="rId2878" Type="http://schemas.openxmlformats.org/officeDocument/2006/relationships/hyperlink" Target="https://en.wikipedia.org/wiki/Mississippi" TargetMode="External"/><Relationship Id="rId1548" Type="http://schemas.openxmlformats.org/officeDocument/2006/relationships/hyperlink" Target="https://en.wikipedia.org/wiki/Indiana" TargetMode="External"/><Relationship Id="rId2879" Type="http://schemas.openxmlformats.org/officeDocument/2006/relationships/hyperlink" Target="https://en.wikipedia.org/wiki/Lamar_County,_Mississippi" TargetMode="External"/><Relationship Id="rId1549" Type="http://schemas.openxmlformats.org/officeDocument/2006/relationships/hyperlink" Target="https://en.wikipedia.org/wiki/Steuben_County,_Indiana" TargetMode="External"/><Relationship Id="rId959" Type="http://schemas.openxmlformats.org/officeDocument/2006/relationships/hyperlink" Target="https://en.wikipedia.org/wiki/Long_County,_Georgia" TargetMode="External"/><Relationship Id="rId954" Type="http://schemas.openxmlformats.org/officeDocument/2006/relationships/hyperlink" Target="https://en.wikipedia.org/wiki/Georgia_(U.S._state)" TargetMode="External"/><Relationship Id="rId953" Type="http://schemas.openxmlformats.org/officeDocument/2006/relationships/hyperlink" Target="https://en.wikipedia.org/wiki/Lee_County,_Georgia" TargetMode="External"/><Relationship Id="rId952" Type="http://schemas.openxmlformats.org/officeDocument/2006/relationships/hyperlink" Target="https://en.wikipedia.org/wiki/Georgia_(U.S._state)" TargetMode="External"/><Relationship Id="rId951" Type="http://schemas.openxmlformats.org/officeDocument/2006/relationships/hyperlink" Target="https://en.wikipedia.org/wiki/Laurens_County,_Georgia" TargetMode="External"/><Relationship Id="rId958" Type="http://schemas.openxmlformats.org/officeDocument/2006/relationships/hyperlink" Target="https://en.wikipedia.org/wiki/Georgia_(U.S._state)" TargetMode="External"/><Relationship Id="rId957" Type="http://schemas.openxmlformats.org/officeDocument/2006/relationships/hyperlink" Target="https://en.wikipedia.org/wiki/Lincoln_County,_Georgia" TargetMode="External"/><Relationship Id="rId956" Type="http://schemas.openxmlformats.org/officeDocument/2006/relationships/hyperlink" Target="https://en.wikipedia.org/wiki/Georgia_(U.S._state)" TargetMode="External"/><Relationship Id="rId955" Type="http://schemas.openxmlformats.org/officeDocument/2006/relationships/hyperlink" Target="https://en.wikipedia.org/wiki/Liberty_County,_Georgia" TargetMode="External"/><Relationship Id="rId950" Type="http://schemas.openxmlformats.org/officeDocument/2006/relationships/hyperlink" Target="https://en.wikipedia.org/wiki/Georgia_(U.S._state)" TargetMode="External"/><Relationship Id="rId2870" Type="http://schemas.openxmlformats.org/officeDocument/2006/relationships/hyperlink" Target="https://en.wikipedia.org/wiki/Mississippi" TargetMode="External"/><Relationship Id="rId1540" Type="http://schemas.openxmlformats.org/officeDocument/2006/relationships/hyperlink" Target="https://en.wikipedia.org/wiki/Indiana" TargetMode="External"/><Relationship Id="rId2871" Type="http://schemas.openxmlformats.org/officeDocument/2006/relationships/hyperlink" Target="https://en.wikipedia.org/wiki/Jefferson_Davis_County,_Mississippi" TargetMode="External"/><Relationship Id="rId1541" Type="http://schemas.openxmlformats.org/officeDocument/2006/relationships/hyperlink" Target="https://en.wikipedia.org/wiki/Scott_County,_Indiana" TargetMode="External"/><Relationship Id="rId2872" Type="http://schemas.openxmlformats.org/officeDocument/2006/relationships/hyperlink" Target="https://en.wikipedia.org/wiki/Mississippi" TargetMode="External"/><Relationship Id="rId1542" Type="http://schemas.openxmlformats.org/officeDocument/2006/relationships/hyperlink" Target="https://en.wikipedia.org/wiki/Indiana" TargetMode="External"/><Relationship Id="rId2873" Type="http://schemas.openxmlformats.org/officeDocument/2006/relationships/hyperlink" Target="https://en.wikipedia.org/wiki/Jones_County,_Mississippi" TargetMode="External"/><Relationship Id="rId5130" Type="http://schemas.openxmlformats.org/officeDocument/2006/relationships/hyperlink" Target="https://en.wikipedia.org/wiki/Texas" TargetMode="External"/><Relationship Id="rId5131" Type="http://schemas.openxmlformats.org/officeDocument/2006/relationships/hyperlink" Target="https://en.wikipedia.org/wiki/Coke_County,_Texas" TargetMode="External"/><Relationship Id="rId5134" Type="http://schemas.openxmlformats.org/officeDocument/2006/relationships/hyperlink" Target="https://en.wikipedia.org/wiki/Texas" TargetMode="External"/><Relationship Id="rId5135" Type="http://schemas.openxmlformats.org/officeDocument/2006/relationships/hyperlink" Target="https://en.wikipedia.org/wiki/Collin_County,_Texas" TargetMode="External"/><Relationship Id="rId5132" Type="http://schemas.openxmlformats.org/officeDocument/2006/relationships/hyperlink" Target="https://en.wikipedia.org/wiki/Texas" TargetMode="External"/><Relationship Id="rId5133" Type="http://schemas.openxmlformats.org/officeDocument/2006/relationships/hyperlink" Target="https://en.wikipedia.org/wiki/Coleman_County,_Texas" TargetMode="External"/><Relationship Id="rId5138" Type="http://schemas.openxmlformats.org/officeDocument/2006/relationships/hyperlink" Target="https://en.wikipedia.org/wiki/Texas" TargetMode="External"/><Relationship Id="rId5139" Type="http://schemas.openxmlformats.org/officeDocument/2006/relationships/hyperlink" Target="https://en.wikipedia.org/wiki/Colorado_County,_Texas" TargetMode="External"/><Relationship Id="rId5136" Type="http://schemas.openxmlformats.org/officeDocument/2006/relationships/hyperlink" Target="https://en.wikipedia.org/wiki/Texas" TargetMode="External"/><Relationship Id="rId5137" Type="http://schemas.openxmlformats.org/officeDocument/2006/relationships/hyperlink" Target="https://en.wikipedia.org/wiki/Collingsworth_County,_Texas" TargetMode="External"/><Relationship Id="rId5129" Type="http://schemas.openxmlformats.org/officeDocument/2006/relationships/hyperlink" Target="https://en.wikipedia.org/wiki/Cochran_County,_Texas" TargetMode="External"/><Relationship Id="rId5120" Type="http://schemas.openxmlformats.org/officeDocument/2006/relationships/hyperlink" Target="https://en.wikipedia.org/wiki/Texas" TargetMode="External"/><Relationship Id="rId5123" Type="http://schemas.openxmlformats.org/officeDocument/2006/relationships/hyperlink" Target="https://en.wikipedia.org/wiki/Cherokee_County,_Texas" TargetMode="External"/><Relationship Id="rId5124" Type="http://schemas.openxmlformats.org/officeDocument/2006/relationships/hyperlink" Target="https://en.wikipedia.org/wiki/Texas" TargetMode="External"/><Relationship Id="rId5121" Type="http://schemas.openxmlformats.org/officeDocument/2006/relationships/hyperlink" Target="https://en.wikipedia.org/wiki/Chambers_County,_Texas" TargetMode="External"/><Relationship Id="rId5122" Type="http://schemas.openxmlformats.org/officeDocument/2006/relationships/hyperlink" Target="https://en.wikipedia.org/wiki/Texas" TargetMode="External"/><Relationship Id="rId5127" Type="http://schemas.openxmlformats.org/officeDocument/2006/relationships/hyperlink" Target="https://en.wikipedia.org/wiki/Clay_County,_Texas" TargetMode="External"/><Relationship Id="rId5128" Type="http://schemas.openxmlformats.org/officeDocument/2006/relationships/hyperlink" Target="https://en.wikipedia.org/wiki/Texas" TargetMode="External"/><Relationship Id="rId5125" Type="http://schemas.openxmlformats.org/officeDocument/2006/relationships/hyperlink" Target="https://en.wikipedia.org/wiki/Childress_County,_Texas" TargetMode="External"/><Relationship Id="rId5126" Type="http://schemas.openxmlformats.org/officeDocument/2006/relationships/hyperlink" Target="https://en.wikipedia.org/wiki/Texas" TargetMode="External"/><Relationship Id="rId5152" Type="http://schemas.openxmlformats.org/officeDocument/2006/relationships/hyperlink" Target="https://en.wikipedia.org/wiki/Texas" TargetMode="External"/><Relationship Id="rId5153" Type="http://schemas.openxmlformats.org/officeDocument/2006/relationships/hyperlink" Target="https://en.wikipedia.org/wiki/Crane_County,_Texas" TargetMode="External"/><Relationship Id="rId5150" Type="http://schemas.openxmlformats.org/officeDocument/2006/relationships/hyperlink" Target="https://en.wikipedia.org/wiki/Texas" TargetMode="External"/><Relationship Id="rId5151" Type="http://schemas.openxmlformats.org/officeDocument/2006/relationships/hyperlink" Target="https://en.wikipedia.org/wiki/Cottle_County,_Texas" TargetMode="External"/><Relationship Id="rId5156" Type="http://schemas.openxmlformats.org/officeDocument/2006/relationships/hyperlink" Target="https://en.wikipedia.org/wiki/Texas" TargetMode="External"/><Relationship Id="rId5157" Type="http://schemas.openxmlformats.org/officeDocument/2006/relationships/hyperlink" Target="https://en.wikipedia.org/wiki/Crosby_County,_Texas" TargetMode="External"/><Relationship Id="rId5154" Type="http://schemas.openxmlformats.org/officeDocument/2006/relationships/hyperlink" Target="https://en.wikipedia.org/wiki/Texas" TargetMode="External"/><Relationship Id="rId5155" Type="http://schemas.openxmlformats.org/officeDocument/2006/relationships/hyperlink" Target="https://en.wikipedia.org/wiki/Crockett_County,_Texas" TargetMode="External"/><Relationship Id="rId5158" Type="http://schemas.openxmlformats.org/officeDocument/2006/relationships/hyperlink" Target="https://en.wikipedia.org/wiki/Texas" TargetMode="External"/><Relationship Id="rId5159" Type="http://schemas.openxmlformats.org/officeDocument/2006/relationships/hyperlink" Target="https://en.wikipedia.org/wiki/Culberson_County,_Texas" TargetMode="External"/><Relationship Id="rId5141" Type="http://schemas.openxmlformats.org/officeDocument/2006/relationships/hyperlink" Target="https://en.wikipedia.org/wiki/Comal_County,_Texas" TargetMode="External"/><Relationship Id="rId5142" Type="http://schemas.openxmlformats.org/officeDocument/2006/relationships/hyperlink" Target="https://en.wikipedia.org/wiki/Texas" TargetMode="External"/><Relationship Id="rId5140" Type="http://schemas.openxmlformats.org/officeDocument/2006/relationships/hyperlink" Target="https://en.wikipedia.org/wiki/Texas" TargetMode="External"/><Relationship Id="rId5145" Type="http://schemas.openxmlformats.org/officeDocument/2006/relationships/hyperlink" Target="https://en.wikipedia.org/wiki/Concho_County,_Texas" TargetMode="External"/><Relationship Id="rId5146" Type="http://schemas.openxmlformats.org/officeDocument/2006/relationships/hyperlink" Target="https://en.wikipedia.org/wiki/Texas" TargetMode="External"/><Relationship Id="rId5143" Type="http://schemas.openxmlformats.org/officeDocument/2006/relationships/hyperlink" Target="https://en.wikipedia.org/wiki/Comanche_County,_Texas" TargetMode="External"/><Relationship Id="rId5144" Type="http://schemas.openxmlformats.org/officeDocument/2006/relationships/hyperlink" Target="https://en.wikipedia.org/wiki/Texas" TargetMode="External"/><Relationship Id="rId5149" Type="http://schemas.openxmlformats.org/officeDocument/2006/relationships/hyperlink" Target="https://en.wikipedia.org/wiki/Coryell_County,_Texas" TargetMode="External"/><Relationship Id="rId5147" Type="http://schemas.openxmlformats.org/officeDocument/2006/relationships/hyperlink" Target="https://en.wikipedia.org/wiki/Cooke_County,_Texas" TargetMode="External"/><Relationship Id="rId5148" Type="http://schemas.openxmlformats.org/officeDocument/2006/relationships/hyperlink" Target="https://en.wikipedia.org/wiki/Texas" TargetMode="External"/><Relationship Id="rId5118" Type="http://schemas.openxmlformats.org/officeDocument/2006/relationships/hyperlink" Target="https://en.wikipedia.org/wiki/Texas" TargetMode="External"/><Relationship Id="rId5119" Type="http://schemas.openxmlformats.org/officeDocument/2006/relationships/hyperlink" Target="https://en.wikipedia.org/wiki/Castro_County,_Texas" TargetMode="External"/><Relationship Id="rId5112" Type="http://schemas.openxmlformats.org/officeDocument/2006/relationships/hyperlink" Target="https://en.wikipedia.org/wiki/Texas" TargetMode="External"/><Relationship Id="rId5113" Type="http://schemas.openxmlformats.org/officeDocument/2006/relationships/hyperlink" Target="https://en.wikipedia.org/wiki/Camp_County,_Texas" TargetMode="External"/><Relationship Id="rId5110" Type="http://schemas.openxmlformats.org/officeDocument/2006/relationships/hyperlink" Target="https://en.wikipedia.org/wiki/Texas" TargetMode="External"/><Relationship Id="rId5111" Type="http://schemas.openxmlformats.org/officeDocument/2006/relationships/hyperlink" Target="https://en.wikipedia.org/wiki/Cameron_County,_Texas" TargetMode="External"/><Relationship Id="rId5116" Type="http://schemas.openxmlformats.org/officeDocument/2006/relationships/hyperlink" Target="https://en.wikipedia.org/wiki/Texas" TargetMode="External"/><Relationship Id="rId5117" Type="http://schemas.openxmlformats.org/officeDocument/2006/relationships/hyperlink" Target="https://en.wikipedia.org/wiki/Cass_County,_Texas" TargetMode="External"/><Relationship Id="rId5114" Type="http://schemas.openxmlformats.org/officeDocument/2006/relationships/hyperlink" Target="https://en.wikipedia.org/wiki/Texas" TargetMode="External"/><Relationship Id="rId5115" Type="http://schemas.openxmlformats.org/officeDocument/2006/relationships/hyperlink" Target="https://en.wikipedia.org/wiki/Carson_County,_Texas" TargetMode="External"/><Relationship Id="rId5109" Type="http://schemas.openxmlformats.org/officeDocument/2006/relationships/hyperlink" Target="https://en.wikipedia.org/wiki/Callahan_County,_Texas" TargetMode="External"/><Relationship Id="rId5107" Type="http://schemas.openxmlformats.org/officeDocument/2006/relationships/hyperlink" Target="https://en.wikipedia.org/wiki/Calhoun_County,_Texas" TargetMode="External"/><Relationship Id="rId5108" Type="http://schemas.openxmlformats.org/officeDocument/2006/relationships/hyperlink" Target="https://en.wikipedia.org/wiki/Texas" TargetMode="External"/><Relationship Id="rId5101" Type="http://schemas.openxmlformats.org/officeDocument/2006/relationships/hyperlink" Target="https://en.wikipedia.org/wiki/Burleson_County,_Texas" TargetMode="External"/><Relationship Id="rId5102" Type="http://schemas.openxmlformats.org/officeDocument/2006/relationships/hyperlink" Target="https://en.wikipedia.org/wiki/Texas" TargetMode="External"/><Relationship Id="rId5100" Type="http://schemas.openxmlformats.org/officeDocument/2006/relationships/hyperlink" Target="https://en.wikipedia.org/wiki/Texas" TargetMode="External"/><Relationship Id="rId5105" Type="http://schemas.openxmlformats.org/officeDocument/2006/relationships/hyperlink" Target="https://en.wikipedia.org/wiki/Caldwell_County,_Texas" TargetMode="External"/><Relationship Id="rId5106" Type="http://schemas.openxmlformats.org/officeDocument/2006/relationships/hyperlink" Target="https://en.wikipedia.org/wiki/Texas" TargetMode="External"/><Relationship Id="rId5103" Type="http://schemas.openxmlformats.org/officeDocument/2006/relationships/hyperlink" Target="https://en.wikipedia.org/wiki/Burnet_County,_Texas" TargetMode="External"/><Relationship Id="rId5104" Type="http://schemas.openxmlformats.org/officeDocument/2006/relationships/hyperlink" Target="https://en.wikipedia.org/wiki/Texas" TargetMode="External"/><Relationship Id="rId2940" Type="http://schemas.openxmlformats.org/officeDocument/2006/relationships/hyperlink" Target="https://en.wikipedia.org/wiki/Mississippi" TargetMode="External"/><Relationship Id="rId1610" Type="http://schemas.openxmlformats.org/officeDocument/2006/relationships/hyperlink" Target="https://en.wikipedia.org/wiki/Iowa" TargetMode="External"/><Relationship Id="rId2941" Type="http://schemas.openxmlformats.org/officeDocument/2006/relationships/hyperlink" Target="https://en.wikipedia.org/wiki/Tallahatchie_County,_Mississippi" TargetMode="External"/><Relationship Id="rId1611" Type="http://schemas.openxmlformats.org/officeDocument/2006/relationships/hyperlink" Target="https://en.wikipedia.org/wiki/Cass_County,_Iowa" TargetMode="External"/><Relationship Id="rId2942" Type="http://schemas.openxmlformats.org/officeDocument/2006/relationships/hyperlink" Target="https://en.wikipedia.org/wiki/Mississippi" TargetMode="External"/><Relationship Id="rId1612" Type="http://schemas.openxmlformats.org/officeDocument/2006/relationships/hyperlink" Target="https://en.wikipedia.org/wiki/Iowa" TargetMode="External"/><Relationship Id="rId2943" Type="http://schemas.openxmlformats.org/officeDocument/2006/relationships/hyperlink" Target="https://en.wikipedia.org/wiki/Tate_County,_Mississippi" TargetMode="External"/><Relationship Id="rId1613" Type="http://schemas.openxmlformats.org/officeDocument/2006/relationships/hyperlink" Target="https://en.wikipedia.org/wiki/Cedar_County,_Iowa" TargetMode="External"/><Relationship Id="rId2944" Type="http://schemas.openxmlformats.org/officeDocument/2006/relationships/hyperlink" Target="https://en.wikipedia.org/wiki/Mississippi" TargetMode="External"/><Relationship Id="rId1614" Type="http://schemas.openxmlformats.org/officeDocument/2006/relationships/hyperlink" Target="https://en.wikipedia.org/wiki/Iowa" TargetMode="External"/><Relationship Id="rId2945" Type="http://schemas.openxmlformats.org/officeDocument/2006/relationships/hyperlink" Target="https://en.wikipedia.org/wiki/Tippah_County,_Mississippi" TargetMode="External"/><Relationship Id="rId1615" Type="http://schemas.openxmlformats.org/officeDocument/2006/relationships/hyperlink" Target="https://en.wikipedia.org/wiki/Cerro_Gordo_County,_Iowa" TargetMode="External"/><Relationship Id="rId2946" Type="http://schemas.openxmlformats.org/officeDocument/2006/relationships/hyperlink" Target="https://en.wikipedia.org/wiki/Mississippi" TargetMode="External"/><Relationship Id="rId1616" Type="http://schemas.openxmlformats.org/officeDocument/2006/relationships/hyperlink" Target="https://en.wikipedia.org/wiki/Iowa" TargetMode="External"/><Relationship Id="rId2947" Type="http://schemas.openxmlformats.org/officeDocument/2006/relationships/hyperlink" Target="https://en.wikipedia.org/wiki/Tishomingo_County,_Mississippi" TargetMode="External"/><Relationship Id="rId907" Type="http://schemas.openxmlformats.org/officeDocument/2006/relationships/hyperlink" Target="https://en.wikipedia.org/wiki/Grady_County,_Georgia" TargetMode="External"/><Relationship Id="rId1617" Type="http://schemas.openxmlformats.org/officeDocument/2006/relationships/hyperlink" Target="https://en.wikipedia.org/wiki/Cherokee_County,_Iowa" TargetMode="External"/><Relationship Id="rId2948" Type="http://schemas.openxmlformats.org/officeDocument/2006/relationships/hyperlink" Target="https://en.wikipedia.org/wiki/Mississippi" TargetMode="External"/><Relationship Id="rId906" Type="http://schemas.openxmlformats.org/officeDocument/2006/relationships/hyperlink" Target="https://en.wikipedia.org/wiki/Georgia_(U.S._state)" TargetMode="External"/><Relationship Id="rId1618" Type="http://schemas.openxmlformats.org/officeDocument/2006/relationships/hyperlink" Target="https://en.wikipedia.org/wiki/Iowa" TargetMode="External"/><Relationship Id="rId2949" Type="http://schemas.openxmlformats.org/officeDocument/2006/relationships/hyperlink" Target="https://en.wikipedia.org/wiki/Tunica_County,_Mississippi" TargetMode="External"/><Relationship Id="rId905" Type="http://schemas.openxmlformats.org/officeDocument/2006/relationships/hyperlink" Target="https://en.wikipedia.org/wiki/Gordon_County,_Georgia" TargetMode="External"/><Relationship Id="rId1619" Type="http://schemas.openxmlformats.org/officeDocument/2006/relationships/hyperlink" Target="https://en.wikipedia.org/wiki/Chickasaw_County,_Iowa" TargetMode="External"/><Relationship Id="rId904" Type="http://schemas.openxmlformats.org/officeDocument/2006/relationships/hyperlink" Target="https://en.wikipedia.org/wiki/Georgia_(U.S._state)" TargetMode="External"/><Relationship Id="rId909" Type="http://schemas.openxmlformats.org/officeDocument/2006/relationships/hyperlink" Target="https://en.wikipedia.org/wiki/Greene_County,_Georgia" TargetMode="External"/><Relationship Id="rId908" Type="http://schemas.openxmlformats.org/officeDocument/2006/relationships/hyperlink" Target="https://en.wikipedia.org/wiki/Georgia_(U.S._state)" TargetMode="External"/><Relationship Id="rId903" Type="http://schemas.openxmlformats.org/officeDocument/2006/relationships/hyperlink" Target="https://en.wikipedia.org/wiki/Glynn_County,_Georgia" TargetMode="External"/><Relationship Id="rId902" Type="http://schemas.openxmlformats.org/officeDocument/2006/relationships/hyperlink" Target="https://en.wikipedia.org/wiki/Georgia_(U.S._state)" TargetMode="External"/><Relationship Id="rId901" Type="http://schemas.openxmlformats.org/officeDocument/2006/relationships/hyperlink" Target="https://en.wikipedia.org/wiki/Glascock_County,_Georgia" TargetMode="External"/><Relationship Id="rId900" Type="http://schemas.openxmlformats.org/officeDocument/2006/relationships/hyperlink" Target="https://en.wikipedia.org/wiki/Georgia_(U.S._state)" TargetMode="External"/><Relationship Id="rId2930" Type="http://schemas.openxmlformats.org/officeDocument/2006/relationships/hyperlink" Target="https://en.wikipedia.org/wiki/Mississippi" TargetMode="External"/><Relationship Id="rId1600" Type="http://schemas.openxmlformats.org/officeDocument/2006/relationships/hyperlink" Target="https://en.wikipedia.org/wiki/Iowa" TargetMode="External"/><Relationship Id="rId2931" Type="http://schemas.openxmlformats.org/officeDocument/2006/relationships/hyperlink" Target="https://en.wikipedia.org/wiki/Sharkey_County,_Mississippi" TargetMode="External"/><Relationship Id="rId1601" Type="http://schemas.openxmlformats.org/officeDocument/2006/relationships/hyperlink" Target="https://en.wikipedia.org/wiki/Buchanan_County,_Iowa" TargetMode="External"/><Relationship Id="rId2932" Type="http://schemas.openxmlformats.org/officeDocument/2006/relationships/hyperlink" Target="https://en.wikipedia.org/wiki/Mississippi" TargetMode="External"/><Relationship Id="rId1602" Type="http://schemas.openxmlformats.org/officeDocument/2006/relationships/hyperlink" Target="https://en.wikipedia.org/wiki/Iowa" TargetMode="External"/><Relationship Id="rId2933" Type="http://schemas.openxmlformats.org/officeDocument/2006/relationships/hyperlink" Target="https://en.wikipedia.org/wiki/Simpson_County,_Mississippi" TargetMode="External"/><Relationship Id="rId1603" Type="http://schemas.openxmlformats.org/officeDocument/2006/relationships/hyperlink" Target="https://en.wikipedia.org/wiki/Buena_Vista_County,_Iowa" TargetMode="External"/><Relationship Id="rId2934" Type="http://schemas.openxmlformats.org/officeDocument/2006/relationships/hyperlink" Target="https://en.wikipedia.org/wiki/Mississippi" TargetMode="External"/><Relationship Id="rId1604" Type="http://schemas.openxmlformats.org/officeDocument/2006/relationships/hyperlink" Target="https://en.wikipedia.org/wiki/Iowa" TargetMode="External"/><Relationship Id="rId2935" Type="http://schemas.openxmlformats.org/officeDocument/2006/relationships/hyperlink" Target="https://en.wikipedia.org/wiki/Smith_County,_Mississippi" TargetMode="External"/><Relationship Id="rId1605" Type="http://schemas.openxmlformats.org/officeDocument/2006/relationships/hyperlink" Target="https://en.wikipedia.org/wiki/Butler_County,_Iowa" TargetMode="External"/><Relationship Id="rId2936" Type="http://schemas.openxmlformats.org/officeDocument/2006/relationships/hyperlink" Target="https://en.wikipedia.org/wiki/Mississippi" TargetMode="External"/><Relationship Id="rId1606" Type="http://schemas.openxmlformats.org/officeDocument/2006/relationships/hyperlink" Target="https://en.wikipedia.org/wiki/Iowa" TargetMode="External"/><Relationship Id="rId2937" Type="http://schemas.openxmlformats.org/officeDocument/2006/relationships/hyperlink" Target="https://en.wikipedia.org/wiki/Stone_County,_Mississippi" TargetMode="External"/><Relationship Id="rId1607" Type="http://schemas.openxmlformats.org/officeDocument/2006/relationships/hyperlink" Target="https://en.wikipedia.org/wiki/Calhoun_County,_Iowa" TargetMode="External"/><Relationship Id="rId2938" Type="http://schemas.openxmlformats.org/officeDocument/2006/relationships/hyperlink" Target="https://en.wikipedia.org/wiki/Mississippi" TargetMode="External"/><Relationship Id="rId1608" Type="http://schemas.openxmlformats.org/officeDocument/2006/relationships/hyperlink" Target="https://en.wikipedia.org/wiki/Iowa" TargetMode="External"/><Relationship Id="rId2939" Type="http://schemas.openxmlformats.org/officeDocument/2006/relationships/hyperlink" Target="https://en.wikipedia.org/wiki/Sunflower_County,_Mississippi" TargetMode="External"/><Relationship Id="rId1609" Type="http://schemas.openxmlformats.org/officeDocument/2006/relationships/hyperlink" Target="https://en.wikipedia.org/wiki/Carroll_County,_Iowa" TargetMode="External"/><Relationship Id="rId1631" Type="http://schemas.openxmlformats.org/officeDocument/2006/relationships/hyperlink" Target="https://en.wikipedia.org/wiki/Dallas_County,_Iowa" TargetMode="External"/><Relationship Id="rId2962" Type="http://schemas.openxmlformats.org/officeDocument/2006/relationships/hyperlink" Target="https://en.wikipedia.org/wiki/Mississippi" TargetMode="External"/><Relationship Id="rId1632" Type="http://schemas.openxmlformats.org/officeDocument/2006/relationships/hyperlink" Target="https://en.wikipedia.org/wiki/Iowa" TargetMode="External"/><Relationship Id="rId2963" Type="http://schemas.openxmlformats.org/officeDocument/2006/relationships/hyperlink" Target="https://en.wikipedia.org/wiki/Wilkinson_County,_Mississippi" TargetMode="External"/><Relationship Id="rId1633" Type="http://schemas.openxmlformats.org/officeDocument/2006/relationships/hyperlink" Target="https://en.wikipedia.org/wiki/Davis_County,_Iowa" TargetMode="External"/><Relationship Id="rId2964" Type="http://schemas.openxmlformats.org/officeDocument/2006/relationships/hyperlink" Target="https://en.wikipedia.org/wiki/Mississippi" TargetMode="External"/><Relationship Id="rId1634" Type="http://schemas.openxmlformats.org/officeDocument/2006/relationships/hyperlink" Target="https://en.wikipedia.org/wiki/Iowa" TargetMode="External"/><Relationship Id="rId2965" Type="http://schemas.openxmlformats.org/officeDocument/2006/relationships/hyperlink" Target="https://en.wikipedia.org/wiki/Winston_County,_Mississippi" TargetMode="External"/><Relationship Id="rId1635" Type="http://schemas.openxmlformats.org/officeDocument/2006/relationships/hyperlink" Target="https://en.wikipedia.org/wiki/Decatur_County,_Iowa" TargetMode="External"/><Relationship Id="rId2966" Type="http://schemas.openxmlformats.org/officeDocument/2006/relationships/hyperlink" Target="https://en.wikipedia.org/wiki/Mississippi" TargetMode="External"/><Relationship Id="rId1636" Type="http://schemas.openxmlformats.org/officeDocument/2006/relationships/hyperlink" Target="https://en.wikipedia.org/wiki/Iowa" TargetMode="External"/><Relationship Id="rId2967" Type="http://schemas.openxmlformats.org/officeDocument/2006/relationships/hyperlink" Target="https://en.wikipedia.org/wiki/Yalobusha_County,_Mississippi" TargetMode="External"/><Relationship Id="rId1637" Type="http://schemas.openxmlformats.org/officeDocument/2006/relationships/hyperlink" Target="https://en.wikipedia.org/wiki/Delaware_County,_Iowa" TargetMode="External"/><Relationship Id="rId2968" Type="http://schemas.openxmlformats.org/officeDocument/2006/relationships/hyperlink" Target="https://en.wikipedia.org/wiki/Mississippi" TargetMode="External"/><Relationship Id="rId1638" Type="http://schemas.openxmlformats.org/officeDocument/2006/relationships/hyperlink" Target="https://en.wikipedia.org/wiki/Iowa" TargetMode="External"/><Relationship Id="rId2969" Type="http://schemas.openxmlformats.org/officeDocument/2006/relationships/hyperlink" Target="https://en.wikipedia.org/wiki/Yazoo_County,_Mississippi" TargetMode="External"/><Relationship Id="rId929" Type="http://schemas.openxmlformats.org/officeDocument/2006/relationships/hyperlink" Target="https://en.wikipedia.org/wiki/Houston_County,_Georgia" TargetMode="External"/><Relationship Id="rId1639" Type="http://schemas.openxmlformats.org/officeDocument/2006/relationships/hyperlink" Target="https://en.wikipedia.org/wiki/Des_Moines_County,_Iowa" TargetMode="External"/><Relationship Id="rId928" Type="http://schemas.openxmlformats.org/officeDocument/2006/relationships/hyperlink" Target="https://en.wikipedia.org/wiki/Georgia_(U.S._state)" TargetMode="External"/><Relationship Id="rId927" Type="http://schemas.openxmlformats.org/officeDocument/2006/relationships/hyperlink" Target="https://en.wikipedia.org/wiki/Henry_County,_Georgia" TargetMode="External"/><Relationship Id="rId926" Type="http://schemas.openxmlformats.org/officeDocument/2006/relationships/hyperlink" Target="https://en.wikipedia.org/wiki/Georgia_(U.S._state)" TargetMode="External"/><Relationship Id="rId921" Type="http://schemas.openxmlformats.org/officeDocument/2006/relationships/hyperlink" Target="https://en.wikipedia.org/wiki/Harris_County,_Georgia" TargetMode="External"/><Relationship Id="rId920" Type="http://schemas.openxmlformats.org/officeDocument/2006/relationships/hyperlink" Target="https://en.wikipedia.org/wiki/Georgia_(U.S._state)" TargetMode="External"/><Relationship Id="rId925" Type="http://schemas.openxmlformats.org/officeDocument/2006/relationships/hyperlink" Target="https://en.wikipedia.org/wiki/Heard_County,_Georgia" TargetMode="External"/><Relationship Id="rId924" Type="http://schemas.openxmlformats.org/officeDocument/2006/relationships/hyperlink" Target="https://en.wikipedia.org/wiki/Georgia_(U.S._state)" TargetMode="External"/><Relationship Id="rId923" Type="http://schemas.openxmlformats.org/officeDocument/2006/relationships/hyperlink" Target="https://en.wikipedia.org/wiki/Hart_County,_Georgia" TargetMode="External"/><Relationship Id="rId922" Type="http://schemas.openxmlformats.org/officeDocument/2006/relationships/hyperlink" Target="https://en.wikipedia.org/wiki/Georgia_(U.S._state)" TargetMode="External"/><Relationship Id="rId2960" Type="http://schemas.openxmlformats.org/officeDocument/2006/relationships/hyperlink" Target="https://en.wikipedia.org/wiki/Mississippi" TargetMode="External"/><Relationship Id="rId1630" Type="http://schemas.openxmlformats.org/officeDocument/2006/relationships/hyperlink" Target="https://en.wikipedia.org/wiki/Iowa" TargetMode="External"/><Relationship Id="rId2961" Type="http://schemas.openxmlformats.org/officeDocument/2006/relationships/hyperlink" Target="https://en.wikipedia.org/wiki/Webster_County,_Mississippi" TargetMode="External"/><Relationship Id="rId1620" Type="http://schemas.openxmlformats.org/officeDocument/2006/relationships/hyperlink" Target="https://en.wikipedia.org/wiki/Iowa" TargetMode="External"/><Relationship Id="rId2951" Type="http://schemas.openxmlformats.org/officeDocument/2006/relationships/hyperlink" Target="https://en.wikipedia.org/wiki/Union_County,_Mississippi" TargetMode="External"/><Relationship Id="rId1621" Type="http://schemas.openxmlformats.org/officeDocument/2006/relationships/hyperlink" Target="https://en.wikipedia.org/wiki/Clarke_County,_Iowa" TargetMode="External"/><Relationship Id="rId2952" Type="http://schemas.openxmlformats.org/officeDocument/2006/relationships/hyperlink" Target="https://en.wikipedia.org/wiki/Mississippi" TargetMode="External"/><Relationship Id="rId1622" Type="http://schemas.openxmlformats.org/officeDocument/2006/relationships/hyperlink" Target="https://en.wikipedia.org/wiki/Iowa" TargetMode="External"/><Relationship Id="rId2953" Type="http://schemas.openxmlformats.org/officeDocument/2006/relationships/hyperlink" Target="https://en.wikipedia.org/wiki/Walthall_County,_Mississippi" TargetMode="External"/><Relationship Id="rId1623" Type="http://schemas.openxmlformats.org/officeDocument/2006/relationships/hyperlink" Target="https://en.wikipedia.org/wiki/Clay_County,_Iowa" TargetMode="External"/><Relationship Id="rId2954" Type="http://schemas.openxmlformats.org/officeDocument/2006/relationships/hyperlink" Target="https://en.wikipedia.org/wiki/Mississippi" TargetMode="External"/><Relationship Id="rId1624" Type="http://schemas.openxmlformats.org/officeDocument/2006/relationships/hyperlink" Target="https://en.wikipedia.org/wiki/Iowa" TargetMode="External"/><Relationship Id="rId2955" Type="http://schemas.openxmlformats.org/officeDocument/2006/relationships/hyperlink" Target="https://en.wikipedia.org/wiki/Warren_County,_Mississippi" TargetMode="External"/><Relationship Id="rId1625" Type="http://schemas.openxmlformats.org/officeDocument/2006/relationships/hyperlink" Target="https://en.wikipedia.org/wiki/Clayton_County,_Iowa" TargetMode="External"/><Relationship Id="rId2956" Type="http://schemas.openxmlformats.org/officeDocument/2006/relationships/hyperlink" Target="https://en.wikipedia.org/wiki/Mississippi" TargetMode="External"/><Relationship Id="rId1626" Type="http://schemas.openxmlformats.org/officeDocument/2006/relationships/hyperlink" Target="https://en.wikipedia.org/wiki/Iowa" TargetMode="External"/><Relationship Id="rId2957" Type="http://schemas.openxmlformats.org/officeDocument/2006/relationships/hyperlink" Target="https://en.wikipedia.org/wiki/Washington_County,_Mississippi" TargetMode="External"/><Relationship Id="rId1627" Type="http://schemas.openxmlformats.org/officeDocument/2006/relationships/hyperlink" Target="https://en.wikipedia.org/wiki/Clinton_County,_Iowa" TargetMode="External"/><Relationship Id="rId2958" Type="http://schemas.openxmlformats.org/officeDocument/2006/relationships/hyperlink" Target="https://en.wikipedia.org/wiki/Mississippi" TargetMode="External"/><Relationship Id="rId918" Type="http://schemas.openxmlformats.org/officeDocument/2006/relationships/hyperlink" Target="https://en.wikipedia.org/wiki/Georgia_(U.S._state)" TargetMode="External"/><Relationship Id="rId1628" Type="http://schemas.openxmlformats.org/officeDocument/2006/relationships/hyperlink" Target="https://en.wikipedia.org/wiki/Iowa" TargetMode="External"/><Relationship Id="rId2959" Type="http://schemas.openxmlformats.org/officeDocument/2006/relationships/hyperlink" Target="https://en.wikipedia.org/wiki/Wayne_County,_Mississippi" TargetMode="External"/><Relationship Id="rId917" Type="http://schemas.openxmlformats.org/officeDocument/2006/relationships/hyperlink" Target="https://en.wikipedia.org/wiki/Hancock_County,_Georgia" TargetMode="External"/><Relationship Id="rId1629" Type="http://schemas.openxmlformats.org/officeDocument/2006/relationships/hyperlink" Target="https://en.wikipedia.org/wiki/Crawford_County,_Iowa" TargetMode="External"/><Relationship Id="rId916" Type="http://schemas.openxmlformats.org/officeDocument/2006/relationships/hyperlink" Target="https://en.wikipedia.org/wiki/Georgia_(U.S._state)" TargetMode="External"/><Relationship Id="rId915" Type="http://schemas.openxmlformats.org/officeDocument/2006/relationships/hyperlink" Target="https://en.wikipedia.org/wiki/Hall_County,_Georgia" TargetMode="External"/><Relationship Id="rId919" Type="http://schemas.openxmlformats.org/officeDocument/2006/relationships/hyperlink" Target="https://en.wikipedia.org/wiki/Haralson_County,_Georgia" TargetMode="External"/><Relationship Id="rId910" Type="http://schemas.openxmlformats.org/officeDocument/2006/relationships/hyperlink" Target="https://en.wikipedia.org/wiki/Georgia_(U.S._state)" TargetMode="External"/><Relationship Id="rId914" Type="http://schemas.openxmlformats.org/officeDocument/2006/relationships/hyperlink" Target="https://en.wikipedia.org/wiki/Georgia_(U.S._state)" TargetMode="External"/><Relationship Id="rId913" Type="http://schemas.openxmlformats.org/officeDocument/2006/relationships/hyperlink" Target="https://en.wikipedia.org/wiki/Habersham_County,_Georgia" TargetMode="External"/><Relationship Id="rId912" Type="http://schemas.openxmlformats.org/officeDocument/2006/relationships/hyperlink" Target="https://en.wikipedia.org/wiki/Georgia_(U.S._state)" TargetMode="External"/><Relationship Id="rId911" Type="http://schemas.openxmlformats.org/officeDocument/2006/relationships/hyperlink" Target="https://en.wikipedia.org/wiki/Gwinnett_County,_Georgia" TargetMode="External"/><Relationship Id="rId2950" Type="http://schemas.openxmlformats.org/officeDocument/2006/relationships/hyperlink" Target="https://en.wikipedia.org/wiki/Mississippi" TargetMode="External"/><Relationship Id="rId2900" Type="http://schemas.openxmlformats.org/officeDocument/2006/relationships/hyperlink" Target="https://en.wikipedia.org/wiki/Mississippi" TargetMode="External"/><Relationship Id="rId2901" Type="http://schemas.openxmlformats.org/officeDocument/2006/relationships/hyperlink" Target="https://en.wikipedia.org/wiki/Monroe_County,_Mississippi" TargetMode="External"/><Relationship Id="rId2902" Type="http://schemas.openxmlformats.org/officeDocument/2006/relationships/hyperlink" Target="https://en.wikipedia.org/wiki/Mississippi" TargetMode="External"/><Relationship Id="rId2903" Type="http://schemas.openxmlformats.org/officeDocument/2006/relationships/hyperlink" Target="https://en.wikipedia.org/wiki/Montgomery_County,_Mississippi" TargetMode="External"/><Relationship Id="rId2904" Type="http://schemas.openxmlformats.org/officeDocument/2006/relationships/hyperlink" Target="https://en.wikipedia.org/wiki/Mississippi" TargetMode="External"/><Relationship Id="rId2905" Type="http://schemas.openxmlformats.org/officeDocument/2006/relationships/hyperlink" Target="https://en.wikipedia.org/wiki/Neshoba_County,_Mississippi" TargetMode="External"/><Relationship Id="rId2906" Type="http://schemas.openxmlformats.org/officeDocument/2006/relationships/hyperlink" Target="https://en.wikipedia.org/wiki/Mississippi" TargetMode="External"/><Relationship Id="rId2907" Type="http://schemas.openxmlformats.org/officeDocument/2006/relationships/hyperlink" Target="https://en.wikipedia.org/wiki/Newton_County,_Mississippi" TargetMode="External"/><Relationship Id="rId2908" Type="http://schemas.openxmlformats.org/officeDocument/2006/relationships/hyperlink" Target="https://en.wikipedia.org/wiki/Mississippi" TargetMode="External"/><Relationship Id="rId2909" Type="http://schemas.openxmlformats.org/officeDocument/2006/relationships/hyperlink" Target="https://en.wikipedia.org/wiki/Noxubee_County,_Mississippi" TargetMode="External"/><Relationship Id="rId5170" Type="http://schemas.openxmlformats.org/officeDocument/2006/relationships/hyperlink" Target="https://en.wikipedia.org/wiki/Texas" TargetMode="External"/><Relationship Id="rId5171" Type="http://schemas.openxmlformats.org/officeDocument/2006/relationships/hyperlink" Target="https://en.wikipedia.org/wiki/Denton_County,_Texas" TargetMode="External"/><Relationship Id="rId5174" Type="http://schemas.openxmlformats.org/officeDocument/2006/relationships/hyperlink" Target="https://en.wikipedia.org/wiki/Texas" TargetMode="External"/><Relationship Id="rId5175" Type="http://schemas.openxmlformats.org/officeDocument/2006/relationships/hyperlink" Target="https://en.wikipedia.org/wiki/Dickens_County,_Texas" TargetMode="External"/><Relationship Id="rId5172" Type="http://schemas.openxmlformats.org/officeDocument/2006/relationships/hyperlink" Target="https://en.wikipedia.org/wiki/Texas" TargetMode="External"/><Relationship Id="rId5173" Type="http://schemas.openxmlformats.org/officeDocument/2006/relationships/hyperlink" Target="https://en.wikipedia.org/wiki/DeWitt_County,_Texas" TargetMode="External"/><Relationship Id="rId5178" Type="http://schemas.openxmlformats.org/officeDocument/2006/relationships/hyperlink" Target="https://en.wikipedia.org/wiki/Texas" TargetMode="External"/><Relationship Id="rId5179" Type="http://schemas.openxmlformats.org/officeDocument/2006/relationships/hyperlink" Target="https://en.wikipedia.org/wiki/Donley_County,_Texas" TargetMode="External"/><Relationship Id="rId5176" Type="http://schemas.openxmlformats.org/officeDocument/2006/relationships/hyperlink" Target="https://en.wikipedia.org/wiki/Texas" TargetMode="External"/><Relationship Id="rId5177" Type="http://schemas.openxmlformats.org/officeDocument/2006/relationships/hyperlink" Target="https://en.wikipedia.org/wiki/Dimmit_County,_Texas" TargetMode="External"/><Relationship Id="rId5160" Type="http://schemas.openxmlformats.org/officeDocument/2006/relationships/hyperlink" Target="https://en.wikipedia.org/wiki/Texas" TargetMode="External"/><Relationship Id="rId5163" Type="http://schemas.openxmlformats.org/officeDocument/2006/relationships/hyperlink" Target="https://en.wikipedia.org/wiki/Dallas_County,_Texas" TargetMode="External"/><Relationship Id="rId5164" Type="http://schemas.openxmlformats.org/officeDocument/2006/relationships/hyperlink" Target="https://en.wikipedia.org/wiki/Texas" TargetMode="External"/><Relationship Id="rId5161" Type="http://schemas.openxmlformats.org/officeDocument/2006/relationships/hyperlink" Target="https://en.wikipedia.org/wiki/Dallam_County,_Texas" TargetMode="External"/><Relationship Id="rId5162" Type="http://schemas.openxmlformats.org/officeDocument/2006/relationships/hyperlink" Target="https://en.wikipedia.org/wiki/Texas" TargetMode="External"/><Relationship Id="rId5167" Type="http://schemas.openxmlformats.org/officeDocument/2006/relationships/hyperlink" Target="https://en.wikipedia.org/wiki/Deaf_Smith_County,_Texas" TargetMode="External"/><Relationship Id="rId5168" Type="http://schemas.openxmlformats.org/officeDocument/2006/relationships/hyperlink" Target="https://en.wikipedia.org/wiki/Texas" TargetMode="External"/><Relationship Id="rId5165" Type="http://schemas.openxmlformats.org/officeDocument/2006/relationships/hyperlink" Target="https://en.wikipedia.org/wiki/Dawson_County,_Texas" TargetMode="External"/><Relationship Id="rId5166" Type="http://schemas.openxmlformats.org/officeDocument/2006/relationships/hyperlink" Target="https://en.wikipedia.org/wiki/Texas" TargetMode="External"/><Relationship Id="rId5169" Type="http://schemas.openxmlformats.org/officeDocument/2006/relationships/hyperlink" Target="https://en.wikipedia.org/wiki/Delta_County,_Texas" TargetMode="External"/><Relationship Id="rId2920" Type="http://schemas.openxmlformats.org/officeDocument/2006/relationships/hyperlink" Target="https://en.wikipedia.org/wiki/Mississippi" TargetMode="External"/><Relationship Id="rId2921" Type="http://schemas.openxmlformats.org/officeDocument/2006/relationships/hyperlink" Target="https://en.wikipedia.org/wiki/Pontotoc_County,_Mississippi" TargetMode="External"/><Relationship Id="rId2922" Type="http://schemas.openxmlformats.org/officeDocument/2006/relationships/hyperlink" Target="https://en.wikipedia.org/wiki/Mississippi" TargetMode="External"/><Relationship Id="rId2923" Type="http://schemas.openxmlformats.org/officeDocument/2006/relationships/hyperlink" Target="https://en.wikipedia.org/wiki/Prentiss_County,_Mississippi" TargetMode="External"/><Relationship Id="rId2924" Type="http://schemas.openxmlformats.org/officeDocument/2006/relationships/hyperlink" Target="https://en.wikipedia.org/wiki/Mississippi" TargetMode="External"/><Relationship Id="rId2925" Type="http://schemas.openxmlformats.org/officeDocument/2006/relationships/hyperlink" Target="https://en.wikipedia.org/wiki/Quitman_County,_Mississippi" TargetMode="External"/><Relationship Id="rId2926" Type="http://schemas.openxmlformats.org/officeDocument/2006/relationships/hyperlink" Target="https://en.wikipedia.org/wiki/Mississippi" TargetMode="External"/><Relationship Id="rId2927" Type="http://schemas.openxmlformats.org/officeDocument/2006/relationships/hyperlink" Target="https://en.wikipedia.org/wiki/Rankin_County,_Mississippi" TargetMode="External"/><Relationship Id="rId2928" Type="http://schemas.openxmlformats.org/officeDocument/2006/relationships/hyperlink" Target="https://en.wikipedia.org/wiki/Mississippi" TargetMode="External"/><Relationship Id="rId2929" Type="http://schemas.openxmlformats.org/officeDocument/2006/relationships/hyperlink" Target="https://en.wikipedia.org/wiki/Scott_County,_Mississippi" TargetMode="External"/><Relationship Id="rId5192" Type="http://schemas.openxmlformats.org/officeDocument/2006/relationships/hyperlink" Target="https://en.wikipedia.org/wiki/Texas" TargetMode="External"/><Relationship Id="rId5193" Type="http://schemas.openxmlformats.org/officeDocument/2006/relationships/hyperlink" Target="https://en.wikipedia.org/wiki/Erath_County,_Texas" TargetMode="External"/><Relationship Id="rId5190" Type="http://schemas.openxmlformats.org/officeDocument/2006/relationships/hyperlink" Target="https://en.wikipedia.org/wiki/Texas" TargetMode="External"/><Relationship Id="rId5191" Type="http://schemas.openxmlformats.org/officeDocument/2006/relationships/hyperlink" Target="https://en.wikipedia.org/wiki/El_Paso_County,_Texas" TargetMode="External"/><Relationship Id="rId5196" Type="http://schemas.openxmlformats.org/officeDocument/2006/relationships/hyperlink" Target="https://en.wikipedia.org/wiki/Texas" TargetMode="External"/><Relationship Id="rId5197" Type="http://schemas.openxmlformats.org/officeDocument/2006/relationships/hyperlink" Target="https://en.wikipedia.org/wiki/Fannin_County,_Texas" TargetMode="External"/><Relationship Id="rId5194" Type="http://schemas.openxmlformats.org/officeDocument/2006/relationships/hyperlink" Target="https://en.wikipedia.org/wiki/Texas" TargetMode="External"/><Relationship Id="rId5195" Type="http://schemas.openxmlformats.org/officeDocument/2006/relationships/hyperlink" Target="https://en.wikipedia.org/wiki/Falls_County,_Texas" TargetMode="External"/><Relationship Id="rId5198" Type="http://schemas.openxmlformats.org/officeDocument/2006/relationships/hyperlink" Target="https://en.wikipedia.org/wiki/Texas" TargetMode="External"/><Relationship Id="rId5199" Type="http://schemas.openxmlformats.org/officeDocument/2006/relationships/hyperlink" Target="https://en.wikipedia.org/wiki/Fayette_County,_Texas" TargetMode="External"/><Relationship Id="rId2910" Type="http://schemas.openxmlformats.org/officeDocument/2006/relationships/hyperlink" Target="https://en.wikipedia.org/wiki/Mississippi" TargetMode="External"/><Relationship Id="rId2911" Type="http://schemas.openxmlformats.org/officeDocument/2006/relationships/hyperlink" Target="https://en.wikipedia.org/wiki/Oktibbeha_County,_Mississippi" TargetMode="External"/><Relationship Id="rId2912" Type="http://schemas.openxmlformats.org/officeDocument/2006/relationships/hyperlink" Target="https://en.wikipedia.org/wiki/Mississippi" TargetMode="External"/><Relationship Id="rId2913" Type="http://schemas.openxmlformats.org/officeDocument/2006/relationships/hyperlink" Target="https://en.wikipedia.org/wiki/Panola_County,_Mississippi" TargetMode="External"/><Relationship Id="rId2914" Type="http://schemas.openxmlformats.org/officeDocument/2006/relationships/hyperlink" Target="https://en.wikipedia.org/wiki/Mississippi" TargetMode="External"/><Relationship Id="rId2915" Type="http://schemas.openxmlformats.org/officeDocument/2006/relationships/hyperlink" Target="https://en.wikipedia.org/wiki/Pearl_River_County,_Mississippi" TargetMode="External"/><Relationship Id="rId2916" Type="http://schemas.openxmlformats.org/officeDocument/2006/relationships/hyperlink" Target="https://en.wikipedia.org/wiki/Mississippi" TargetMode="External"/><Relationship Id="rId2917" Type="http://schemas.openxmlformats.org/officeDocument/2006/relationships/hyperlink" Target="https://en.wikipedia.org/wiki/Perry_County,_Mississippi" TargetMode="External"/><Relationship Id="rId2918" Type="http://schemas.openxmlformats.org/officeDocument/2006/relationships/hyperlink" Target="https://en.wikipedia.org/wiki/Mississippi" TargetMode="External"/><Relationship Id="rId2919" Type="http://schemas.openxmlformats.org/officeDocument/2006/relationships/hyperlink" Target="https://en.wikipedia.org/wiki/Pike_County,_Mississippi" TargetMode="External"/><Relationship Id="rId5181" Type="http://schemas.openxmlformats.org/officeDocument/2006/relationships/hyperlink" Target="https://en.wikipedia.org/wiki/Duval_County,_Texas" TargetMode="External"/><Relationship Id="rId5182" Type="http://schemas.openxmlformats.org/officeDocument/2006/relationships/hyperlink" Target="https://en.wikipedia.org/wiki/Texas" TargetMode="External"/><Relationship Id="rId5180" Type="http://schemas.openxmlformats.org/officeDocument/2006/relationships/hyperlink" Target="https://en.wikipedia.org/wiki/Texas" TargetMode="External"/><Relationship Id="rId5185" Type="http://schemas.openxmlformats.org/officeDocument/2006/relationships/hyperlink" Target="https://en.wikipedia.org/wiki/Ector_County,_Texas" TargetMode="External"/><Relationship Id="rId5186" Type="http://schemas.openxmlformats.org/officeDocument/2006/relationships/hyperlink" Target="https://en.wikipedia.org/wiki/Texas" TargetMode="External"/><Relationship Id="rId5183" Type="http://schemas.openxmlformats.org/officeDocument/2006/relationships/hyperlink" Target="https://en.wikipedia.org/wiki/Eastland_County,_Texas" TargetMode="External"/><Relationship Id="rId5184" Type="http://schemas.openxmlformats.org/officeDocument/2006/relationships/hyperlink" Target="https://en.wikipedia.org/wiki/Texas" TargetMode="External"/><Relationship Id="rId5189" Type="http://schemas.openxmlformats.org/officeDocument/2006/relationships/hyperlink" Target="https://en.wikipedia.org/wiki/Ellis_County,_Texas" TargetMode="External"/><Relationship Id="rId5187" Type="http://schemas.openxmlformats.org/officeDocument/2006/relationships/hyperlink" Target="https://en.wikipedia.org/wiki/Edwards_County,_Texas" TargetMode="External"/><Relationship Id="rId5188" Type="http://schemas.openxmlformats.org/officeDocument/2006/relationships/hyperlink" Target="https://en.wikipedia.org/wiki/Texas" TargetMode="External"/><Relationship Id="rId1697" Type="http://schemas.openxmlformats.org/officeDocument/2006/relationships/hyperlink" Target="https://en.wikipedia.org/wiki/Louisa_County,_Iowa" TargetMode="External"/><Relationship Id="rId1698" Type="http://schemas.openxmlformats.org/officeDocument/2006/relationships/hyperlink" Target="https://en.wikipedia.org/wiki/Iowa" TargetMode="External"/><Relationship Id="rId1699" Type="http://schemas.openxmlformats.org/officeDocument/2006/relationships/hyperlink" Target="https://en.wikipedia.org/wiki/Lucas_County,_Iowa" TargetMode="External"/><Relationship Id="rId866" Type="http://schemas.openxmlformats.org/officeDocument/2006/relationships/hyperlink" Target="https://en.wikipedia.org/wiki/Georgia_(U.S._state)" TargetMode="External"/><Relationship Id="rId865" Type="http://schemas.openxmlformats.org/officeDocument/2006/relationships/hyperlink" Target="https://en.wikipedia.org/wiki/DeKalb_County,_Georgia" TargetMode="External"/><Relationship Id="rId864" Type="http://schemas.openxmlformats.org/officeDocument/2006/relationships/hyperlink" Target="https://en.wikipedia.org/wiki/Georgia_(U.S._state)" TargetMode="External"/><Relationship Id="rId863" Type="http://schemas.openxmlformats.org/officeDocument/2006/relationships/hyperlink" Target="https://en.wikipedia.org/wiki/Decatur_County,_Georgia" TargetMode="External"/><Relationship Id="rId869" Type="http://schemas.openxmlformats.org/officeDocument/2006/relationships/hyperlink" Target="https://en.wikipedia.org/wiki/Dooly_County,_Georgia" TargetMode="External"/><Relationship Id="rId868" Type="http://schemas.openxmlformats.org/officeDocument/2006/relationships/hyperlink" Target="https://en.wikipedia.org/wiki/Georgia_(U.S._state)" TargetMode="External"/><Relationship Id="rId867" Type="http://schemas.openxmlformats.org/officeDocument/2006/relationships/hyperlink" Target="https://en.wikipedia.org/wiki/Dodge_County,_Georgia" TargetMode="External"/><Relationship Id="rId1690" Type="http://schemas.openxmlformats.org/officeDocument/2006/relationships/hyperlink" Target="https://en.wikipedia.org/wiki/Iowa" TargetMode="External"/><Relationship Id="rId1691" Type="http://schemas.openxmlformats.org/officeDocument/2006/relationships/hyperlink" Target="https://en.wikipedia.org/wiki/Kossuth_County,_Iowa" TargetMode="External"/><Relationship Id="rId1692" Type="http://schemas.openxmlformats.org/officeDocument/2006/relationships/hyperlink" Target="https://en.wikipedia.org/wiki/Iowa" TargetMode="External"/><Relationship Id="rId862" Type="http://schemas.openxmlformats.org/officeDocument/2006/relationships/hyperlink" Target="https://en.wikipedia.org/wiki/Georgia_(U.S._state)" TargetMode="External"/><Relationship Id="rId1693" Type="http://schemas.openxmlformats.org/officeDocument/2006/relationships/hyperlink" Target="https://en.wikipedia.org/wiki/Lee_County,_Iowa" TargetMode="External"/><Relationship Id="rId861" Type="http://schemas.openxmlformats.org/officeDocument/2006/relationships/hyperlink" Target="https://en.wikipedia.org/wiki/Dawson_County,_Georgia" TargetMode="External"/><Relationship Id="rId1694" Type="http://schemas.openxmlformats.org/officeDocument/2006/relationships/hyperlink" Target="https://en.wikipedia.org/wiki/Iowa" TargetMode="External"/><Relationship Id="rId860" Type="http://schemas.openxmlformats.org/officeDocument/2006/relationships/hyperlink" Target="https://en.wikipedia.org/wiki/Georgia_(U.S._state)" TargetMode="External"/><Relationship Id="rId1695" Type="http://schemas.openxmlformats.org/officeDocument/2006/relationships/hyperlink" Target="https://en.wikipedia.org/wiki/Linn_County,_Iowa" TargetMode="External"/><Relationship Id="rId1696" Type="http://schemas.openxmlformats.org/officeDocument/2006/relationships/hyperlink" Target="https://en.wikipedia.org/wiki/Iowa" TargetMode="External"/><Relationship Id="rId1686" Type="http://schemas.openxmlformats.org/officeDocument/2006/relationships/hyperlink" Target="https://en.wikipedia.org/wiki/Iowa" TargetMode="External"/><Relationship Id="rId1687" Type="http://schemas.openxmlformats.org/officeDocument/2006/relationships/hyperlink" Target="https://en.wikipedia.org/wiki/Jones_County,_Iowa" TargetMode="External"/><Relationship Id="rId1688" Type="http://schemas.openxmlformats.org/officeDocument/2006/relationships/hyperlink" Target="https://en.wikipedia.org/wiki/Iowa" TargetMode="External"/><Relationship Id="rId1689" Type="http://schemas.openxmlformats.org/officeDocument/2006/relationships/hyperlink" Target="https://en.wikipedia.org/wiki/Keokuk_County,_Iowa" TargetMode="External"/><Relationship Id="rId855" Type="http://schemas.openxmlformats.org/officeDocument/2006/relationships/hyperlink" Target="https://en.wikipedia.org/wiki/Crawford_County,_Georgia" TargetMode="External"/><Relationship Id="rId854" Type="http://schemas.openxmlformats.org/officeDocument/2006/relationships/hyperlink" Target="https://en.wikipedia.org/wiki/Georgia_(U.S._state)" TargetMode="External"/><Relationship Id="rId853" Type="http://schemas.openxmlformats.org/officeDocument/2006/relationships/hyperlink" Target="https://en.wikipedia.org/wiki/Coweta_County,_Georgia" TargetMode="External"/><Relationship Id="rId852" Type="http://schemas.openxmlformats.org/officeDocument/2006/relationships/hyperlink" Target="https://en.wikipedia.org/wiki/Georgia_(U.S._state)" TargetMode="External"/><Relationship Id="rId859" Type="http://schemas.openxmlformats.org/officeDocument/2006/relationships/hyperlink" Target="https://en.wikipedia.org/wiki/Dade_County,_Georgia" TargetMode="External"/><Relationship Id="rId858" Type="http://schemas.openxmlformats.org/officeDocument/2006/relationships/hyperlink" Target="https://en.wikipedia.org/wiki/Georgia_(U.S._state)" TargetMode="External"/><Relationship Id="rId857" Type="http://schemas.openxmlformats.org/officeDocument/2006/relationships/hyperlink" Target="https://en.wikipedia.org/wiki/Crisp_County,_Georgia" TargetMode="External"/><Relationship Id="rId856" Type="http://schemas.openxmlformats.org/officeDocument/2006/relationships/hyperlink" Target="https://en.wikipedia.org/wiki/Georgia_(U.S._state)" TargetMode="External"/><Relationship Id="rId1680" Type="http://schemas.openxmlformats.org/officeDocument/2006/relationships/hyperlink" Target="https://en.wikipedia.org/wiki/Iowa" TargetMode="External"/><Relationship Id="rId1681" Type="http://schemas.openxmlformats.org/officeDocument/2006/relationships/hyperlink" Target="https://en.wikipedia.org/wiki/Jasper_County,_Iowa" TargetMode="External"/><Relationship Id="rId851" Type="http://schemas.openxmlformats.org/officeDocument/2006/relationships/hyperlink" Target="https://en.wikipedia.org/wiki/Cook_County,_Georgia" TargetMode="External"/><Relationship Id="rId1682" Type="http://schemas.openxmlformats.org/officeDocument/2006/relationships/hyperlink" Target="https://en.wikipedia.org/wiki/Iowa" TargetMode="External"/><Relationship Id="rId850" Type="http://schemas.openxmlformats.org/officeDocument/2006/relationships/hyperlink" Target="https://en.wikipedia.org/wiki/Georgia_(U.S._state)" TargetMode="External"/><Relationship Id="rId1683" Type="http://schemas.openxmlformats.org/officeDocument/2006/relationships/hyperlink" Target="https://en.wikipedia.org/wiki/Jefferson_County,_Iowa" TargetMode="External"/><Relationship Id="rId1684" Type="http://schemas.openxmlformats.org/officeDocument/2006/relationships/hyperlink" Target="https://en.wikipedia.org/wiki/Iowa" TargetMode="External"/><Relationship Id="rId1685" Type="http://schemas.openxmlformats.org/officeDocument/2006/relationships/hyperlink" Target="https://en.wikipedia.org/wiki/Johnson_County,_Iowa" TargetMode="External"/><Relationship Id="rId888" Type="http://schemas.openxmlformats.org/officeDocument/2006/relationships/hyperlink" Target="https://en.wikipedia.org/wiki/Georgia_(U.S._state)" TargetMode="External"/><Relationship Id="rId887" Type="http://schemas.openxmlformats.org/officeDocument/2006/relationships/hyperlink" Target="https://en.wikipedia.org/wiki/Fannin_County,_Georgia" TargetMode="External"/><Relationship Id="rId886" Type="http://schemas.openxmlformats.org/officeDocument/2006/relationships/hyperlink" Target="https://en.wikipedia.org/wiki/Georgia_(U.S._state)" TargetMode="External"/><Relationship Id="rId885" Type="http://schemas.openxmlformats.org/officeDocument/2006/relationships/hyperlink" Target="https://en.wikipedia.org/wiki/Evans_County,_Georgia" TargetMode="External"/><Relationship Id="rId889" Type="http://schemas.openxmlformats.org/officeDocument/2006/relationships/hyperlink" Target="https://en.wikipedia.org/wiki/Fayette_County,_Georgia" TargetMode="External"/><Relationship Id="rId880" Type="http://schemas.openxmlformats.org/officeDocument/2006/relationships/hyperlink" Target="https://en.wikipedia.org/wiki/Georgia_(U.S._state)" TargetMode="External"/><Relationship Id="rId884" Type="http://schemas.openxmlformats.org/officeDocument/2006/relationships/hyperlink" Target="https://en.wikipedia.org/wiki/Georgia_(U.S._state)" TargetMode="External"/><Relationship Id="rId883" Type="http://schemas.openxmlformats.org/officeDocument/2006/relationships/hyperlink" Target="https://en.wikipedia.org/wiki/Emanuel_County,_Georgia" TargetMode="External"/><Relationship Id="rId882" Type="http://schemas.openxmlformats.org/officeDocument/2006/relationships/hyperlink" Target="https://en.wikipedia.org/wiki/Georgia_(U.S._state)" TargetMode="External"/><Relationship Id="rId881" Type="http://schemas.openxmlformats.org/officeDocument/2006/relationships/hyperlink" Target="https://en.wikipedia.org/wiki/Elbert_County,_Georgia" TargetMode="External"/><Relationship Id="rId877" Type="http://schemas.openxmlformats.org/officeDocument/2006/relationships/hyperlink" Target="https://en.wikipedia.org/wiki/Echols_County,_Georgia" TargetMode="External"/><Relationship Id="rId876" Type="http://schemas.openxmlformats.org/officeDocument/2006/relationships/hyperlink" Target="https://en.wikipedia.org/wiki/Georgia_(U.S._state)" TargetMode="External"/><Relationship Id="rId875" Type="http://schemas.openxmlformats.org/officeDocument/2006/relationships/hyperlink" Target="https://en.wikipedia.org/wiki/Early_County,_Georgia" TargetMode="External"/><Relationship Id="rId874" Type="http://schemas.openxmlformats.org/officeDocument/2006/relationships/hyperlink" Target="https://en.wikipedia.org/wiki/Georgia_(U.S._state)" TargetMode="External"/><Relationship Id="rId879" Type="http://schemas.openxmlformats.org/officeDocument/2006/relationships/hyperlink" Target="https://en.wikipedia.org/wiki/Effingham_County,_Georgia" TargetMode="External"/><Relationship Id="rId878" Type="http://schemas.openxmlformats.org/officeDocument/2006/relationships/hyperlink" Target="https://en.wikipedia.org/wiki/Georgia_(U.S._state)" TargetMode="External"/><Relationship Id="rId873" Type="http://schemas.openxmlformats.org/officeDocument/2006/relationships/hyperlink" Target="https://en.wikipedia.org/wiki/Douglas_County,_Georgia" TargetMode="External"/><Relationship Id="rId872" Type="http://schemas.openxmlformats.org/officeDocument/2006/relationships/hyperlink" Target="https://en.wikipedia.org/wiki/Georgia_(U.S._state)" TargetMode="External"/><Relationship Id="rId871" Type="http://schemas.openxmlformats.org/officeDocument/2006/relationships/hyperlink" Target="https://en.wikipedia.org/wiki/Dougherty_County,_Georgia" TargetMode="External"/><Relationship Id="rId870" Type="http://schemas.openxmlformats.org/officeDocument/2006/relationships/hyperlink" Target="https://en.wikipedia.org/wiki/Georgia_(U.S._state)" TargetMode="External"/><Relationship Id="rId1653" Type="http://schemas.openxmlformats.org/officeDocument/2006/relationships/hyperlink" Target="https://en.wikipedia.org/wiki/Fremont_County,_Iowa" TargetMode="External"/><Relationship Id="rId2984" Type="http://schemas.openxmlformats.org/officeDocument/2006/relationships/hyperlink" Target="https://en.wikipedia.org/wiki/Missouri" TargetMode="External"/><Relationship Id="rId1654" Type="http://schemas.openxmlformats.org/officeDocument/2006/relationships/hyperlink" Target="https://en.wikipedia.org/wiki/Iowa" TargetMode="External"/><Relationship Id="rId2985" Type="http://schemas.openxmlformats.org/officeDocument/2006/relationships/hyperlink" Target="https://en.wikipedia.org/wiki/Benton_County,_Missouri" TargetMode="External"/><Relationship Id="rId1655" Type="http://schemas.openxmlformats.org/officeDocument/2006/relationships/hyperlink" Target="https://en.wikipedia.org/wiki/Greene_County,_Iowa" TargetMode="External"/><Relationship Id="rId2986" Type="http://schemas.openxmlformats.org/officeDocument/2006/relationships/hyperlink" Target="https://en.wikipedia.org/wiki/Missouri" TargetMode="External"/><Relationship Id="rId1656" Type="http://schemas.openxmlformats.org/officeDocument/2006/relationships/hyperlink" Target="https://en.wikipedia.org/wiki/Iowa" TargetMode="External"/><Relationship Id="rId2987" Type="http://schemas.openxmlformats.org/officeDocument/2006/relationships/hyperlink" Target="https://en.wikipedia.org/wiki/Bollinger_County,_Missouri" TargetMode="External"/><Relationship Id="rId1657" Type="http://schemas.openxmlformats.org/officeDocument/2006/relationships/hyperlink" Target="https://en.wikipedia.org/wiki/Grundy_County,_Iowa" TargetMode="External"/><Relationship Id="rId2988" Type="http://schemas.openxmlformats.org/officeDocument/2006/relationships/hyperlink" Target="https://en.wikipedia.org/wiki/Missouri" TargetMode="External"/><Relationship Id="rId1658" Type="http://schemas.openxmlformats.org/officeDocument/2006/relationships/hyperlink" Target="https://en.wikipedia.org/wiki/Iowa" TargetMode="External"/><Relationship Id="rId2989" Type="http://schemas.openxmlformats.org/officeDocument/2006/relationships/hyperlink" Target="https://en.wikipedia.org/wiki/Boone_County,_Missouri" TargetMode="External"/><Relationship Id="rId1659" Type="http://schemas.openxmlformats.org/officeDocument/2006/relationships/hyperlink" Target="https://en.wikipedia.org/wiki/Guthrie_County,_Iowa" TargetMode="External"/><Relationship Id="rId829" Type="http://schemas.openxmlformats.org/officeDocument/2006/relationships/hyperlink" Target="https://en.wikipedia.org/wiki/Chattahoochee_County,_Georgia" TargetMode="External"/><Relationship Id="rId828" Type="http://schemas.openxmlformats.org/officeDocument/2006/relationships/hyperlink" Target="https://en.wikipedia.org/wiki/Georgia_(U.S._state)" TargetMode="External"/><Relationship Id="rId827" Type="http://schemas.openxmlformats.org/officeDocument/2006/relationships/hyperlink" Target="https://en.wikipedia.org/wiki/Chatham_County,_Georgia" TargetMode="External"/><Relationship Id="rId822" Type="http://schemas.openxmlformats.org/officeDocument/2006/relationships/hyperlink" Target="https://en.wikipedia.org/wiki/Georgia_(U.S._state)" TargetMode="External"/><Relationship Id="rId821" Type="http://schemas.openxmlformats.org/officeDocument/2006/relationships/hyperlink" Target="https://en.wikipedia.org/wiki/Carroll_County,_Georgia" TargetMode="External"/><Relationship Id="rId820" Type="http://schemas.openxmlformats.org/officeDocument/2006/relationships/hyperlink" Target="https://en.wikipedia.org/wiki/Georgia_(U.S._state)" TargetMode="External"/><Relationship Id="rId826" Type="http://schemas.openxmlformats.org/officeDocument/2006/relationships/hyperlink" Target="https://en.wikipedia.org/wiki/Georgia_(U.S._state)" TargetMode="External"/><Relationship Id="rId825" Type="http://schemas.openxmlformats.org/officeDocument/2006/relationships/hyperlink" Target="https://en.wikipedia.org/wiki/Charlton_County,_Georgia" TargetMode="External"/><Relationship Id="rId824" Type="http://schemas.openxmlformats.org/officeDocument/2006/relationships/hyperlink" Target="https://en.wikipedia.org/wiki/Georgia_(U.S._state)" TargetMode="External"/><Relationship Id="rId823" Type="http://schemas.openxmlformats.org/officeDocument/2006/relationships/hyperlink" Target="https://en.wikipedia.org/wiki/Catoosa_County,_Georgia" TargetMode="External"/><Relationship Id="rId2980" Type="http://schemas.openxmlformats.org/officeDocument/2006/relationships/hyperlink" Target="https://en.wikipedia.org/wiki/Missouri" TargetMode="External"/><Relationship Id="rId1650" Type="http://schemas.openxmlformats.org/officeDocument/2006/relationships/hyperlink" Target="https://en.wikipedia.org/wiki/Iowa" TargetMode="External"/><Relationship Id="rId2981" Type="http://schemas.openxmlformats.org/officeDocument/2006/relationships/hyperlink" Target="https://en.wikipedia.org/wiki/Barton_County,_Missouri" TargetMode="External"/><Relationship Id="rId1651" Type="http://schemas.openxmlformats.org/officeDocument/2006/relationships/hyperlink" Target="https://en.wikipedia.org/wiki/Franklin_County,_Iowa" TargetMode="External"/><Relationship Id="rId2982" Type="http://schemas.openxmlformats.org/officeDocument/2006/relationships/hyperlink" Target="https://en.wikipedia.org/wiki/Missouri" TargetMode="External"/><Relationship Id="rId1652" Type="http://schemas.openxmlformats.org/officeDocument/2006/relationships/hyperlink" Target="https://en.wikipedia.org/wiki/Iowa" TargetMode="External"/><Relationship Id="rId2983" Type="http://schemas.openxmlformats.org/officeDocument/2006/relationships/hyperlink" Target="https://en.wikipedia.org/wiki/Bates_County,_Missouri" TargetMode="External"/><Relationship Id="rId1642" Type="http://schemas.openxmlformats.org/officeDocument/2006/relationships/hyperlink" Target="https://en.wikipedia.org/wiki/Iowa" TargetMode="External"/><Relationship Id="rId2973" Type="http://schemas.openxmlformats.org/officeDocument/2006/relationships/hyperlink" Target="https://en.wikipedia.org/wiki/Andrew_County,_Missouri" TargetMode="External"/><Relationship Id="rId1643" Type="http://schemas.openxmlformats.org/officeDocument/2006/relationships/hyperlink" Target="https://en.wikipedia.org/wiki/Dubuque_County,_Iowa" TargetMode="External"/><Relationship Id="rId2974" Type="http://schemas.openxmlformats.org/officeDocument/2006/relationships/hyperlink" Target="https://en.wikipedia.org/wiki/Missouri" TargetMode="External"/><Relationship Id="rId1644" Type="http://schemas.openxmlformats.org/officeDocument/2006/relationships/hyperlink" Target="https://en.wikipedia.org/wiki/Iowa" TargetMode="External"/><Relationship Id="rId2975" Type="http://schemas.openxmlformats.org/officeDocument/2006/relationships/hyperlink" Target="https://en.wikipedia.org/wiki/Atchison_County,_Missouri" TargetMode="External"/><Relationship Id="rId1645" Type="http://schemas.openxmlformats.org/officeDocument/2006/relationships/hyperlink" Target="https://en.wikipedia.org/wiki/Emmet_County,_Iowa" TargetMode="External"/><Relationship Id="rId2976" Type="http://schemas.openxmlformats.org/officeDocument/2006/relationships/hyperlink" Target="https://en.wikipedia.org/wiki/Missouri" TargetMode="External"/><Relationship Id="rId1646" Type="http://schemas.openxmlformats.org/officeDocument/2006/relationships/hyperlink" Target="https://en.wikipedia.org/wiki/Iowa" TargetMode="External"/><Relationship Id="rId2977" Type="http://schemas.openxmlformats.org/officeDocument/2006/relationships/hyperlink" Target="https://en.wikipedia.org/wiki/Audrain_County,_Missouri" TargetMode="External"/><Relationship Id="rId1647" Type="http://schemas.openxmlformats.org/officeDocument/2006/relationships/hyperlink" Target="https://en.wikipedia.org/wiki/Fayette_County,_Iowa" TargetMode="External"/><Relationship Id="rId2978" Type="http://schemas.openxmlformats.org/officeDocument/2006/relationships/hyperlink" Target="https://en.wikipedia.org/wiki/Missouri" TargetMode="External"/><Relationship Id="rId1648" Type="http://schemas.openxmlformats.org/officeDocument/2006/relationships/hyperlink" Target="https://en.wikipedia.org/wiki/Iowa" TargetMode="External"/><Relationship Id="rId2979" Type="http://schemas.openxmlformats.org/officeDocument/2006/relationships/hyperlink" Target="https://en.wikipedia.org/wiki/Barry_County,_Missouri" TargetMode="External"/><Relationship Id="rId1649" Type="http://schemas.openxmlformats.org/officeDocument/2006/relationships/hyperlink" Target="https://en.wikipedia.org/wiki/Floyd_County,_Iowa" TargetMode="External"/><Relationship Id="rId819" Type="http://schemas.openxmlformats.org/officeDocument/2006/relationships/hyperlink" Target="https://en.wikipedia.org/wiki/Candler_County,_Georgia" TargetMode="External"/><Relationship Id="rId818" Type="http://schemas.openxmlformats.org/officeDocument/2006/relationships/hyperlink" Target="https://en.wikipedia.org/wiki/Georgia_(U.S._state)" TargetMode="External"/><Relationship Id="rId817" Type="http://schemas.openxmlformats.org/officeDocument/2006/relationships/hyperlink" Target="https://en.wikipedia.org/wiki/Camden_County,_Georgia" TargetMode="External"/><Relationship Id="rId816" Type="http://schemas.openxmlformats.org/officeDocument/2006/relationships/hyperlink" Target="https://en.wikipedia.org/wiki/Georgia_(U.S._state)" TargetMode="External"/><Relationship Id="rId811" Type="http://schemas.openxmlformats.org/officeDocument/2006/relationships/hyperlink" Target="https://en.wikipedia.org/wiki/Burke_County,_Georgia" TargetMode="External"/><Relationship Id="rId810" Type="http://schemas.openxmlformats.org/officeDocument/2006/relationships/hyperlink" Target="https://en.wikipedia.org/wiki/Georgia_(U.S._state)" TargetMode="External"/><Relationship Id="rId815" Type="http://schemas.openxmlformats.org/officeDocument/2006/relationships/hyperlink" Target="https://en.wikipedia.org/wiki/Calhoun_County,_Georgia" TargetMode="External"/><Relationship Id="rId814" Type="http://schemas.openxmlformats.org/officeDocument/2006/relationships/hyperlink" Target="https://en.wikipedia.org/wiki/Georgia_(U.S._state)" TargetMode="External"/><Relationship Id="rId813" Type="http://schemas.openxmlformats.org/officeDocument/2006/relationships/hyperlink" Target="https://en.wikipedia.org/wiki/Butts_County,_Georgia" TargetMode="External"/><Relationship Id="rId812" Type="http://schemas.openxmlformats.org/officeDocument/2006/relationships/hyperlink" Target="https://en.wikipedia.org/wiki/Georgia_(U.S._state)" TargetMode="External"/><Relationship Id="rId2970" Type="http://schemas.openxmlformats.org/officeDocument/2006/relationships/hyperlink" Target="https://en.wikipedia.org/wiki/Missouri" TargetMode="External"/><Relationship Id="rId1640" Type="http://schemas.openxmlformats.org/officeDocument/2006/relationships/hyperlink" Target="https://en.wikipedia.org/wiki/Iowa" TargetMode="External"/><Relationship Id="rId2971" Type="http://schemas.openxmlformats.org/officeDocument/2006/relationships/hyperlink" Target="https://en.wikipedia.org/wiki/Adair_County,_Missouri" TargetMode="External"/><Relationship Id="rId1641" Type="http://schemas.openxmlformats.org/officeDocument/2006/relationships/hyperlink" Target="https://en.wikipedia.org/wiki/Dickinson_County,_Iowa" TargetMode="External"/><Relationship Id="rId2972" Type="http://schemas.openxmlformats.org/officeDocument/2006/relationships/hyperlink" Target="https://en.wikipedia.org/wiki/Missouri" TargetMode="External"/><Relationship Id="rId1675" Type="http://schemas.openxmlformats.org/officeDocument/2006/relationships/hyperlink" Target="https://en.wikipedia.org/wiki/Ida_County,_Iowa" TargetMode="External"/><Relationship Id="rId1676" Type="http://schemas.openxmlformats.org/officeDocument/2006/relationships/hyperlink" Target="https://en.wikipedia.org/wiki/Iowa" TargetMode="External"/><Relationship Id="rId1677" Type="http://schemas.openxmlformats.org/officeDocument/2006/relationships/hyperlink" Target="https://en.wikipedia.org/wiki/Iowa_County,_Iowa" TargetMode="External"/><Relationship Id="rId1678" Type="http://schemas.openxmlformats.org/officeDocument/2006/relationships/hyperlink" Target="https://en.wikipedia.org/wiki/Iowa" TargetMode="External"/><Relationship Id="rId1679" Type="http://schemas.openxmlformats.org/officeDocument/2006/relationships/hyperlink" Target="https://en.wikipedia.org/wiki/Jackson_County,_Iowa" TargetMode="External"/><Relationship Id="rId849" Type="http://schemas.openxmlformats.org/officeDocument/2006/relationships/hyperlink" Target="https://en.wikipedia.org/wiki/Columbia_County,_Georgia" TargetMode="External"/><Relationship Id="rId844" Type="http://schemas.openxmlformats.org/officeDocument/2006/relationships/hyperlink" Target="https://en.wikipedia.org/wiki/Georgia_(U.S._state)" TargetMode="External"/><Relationship Id="rId843" Type="http://schemas.openxmlformats.org/officeDocument/2006/relationships/hyperlink" Target="https://en.wikipedia.org/wiki/Cobb_County,_Georgia" TargetMode="External"/><Relationship Id="rId842" Type="http://schemas.openxmlformats.org/officeDocument/2006/relationships/hyperlink" Target="https://en.wikipedia.org/wiki/Georgia_(U.S._state)" TargetMode="External"/><Relationship Id="rId841" Type="http://schemas.openxmlformats.org/officeDocument/2006/relationships/hyperlink" Target="https://en.wikipedia.org/wiki/Clinch_County,_Georgia" TargetMode="External"/><Relationship Id="rId848" Type="http://schemas.openxmlformats.org/officeDocument/2006/relationships/hyperlink" Target="https://en.wikipedia.org/wiki/Georgia_(U.S._state)" TargetMode="External"/><Relationship Id="rId847" Type="http://schemas.openxmlformats.org/officeDocument/2006/relationships/hyperlink" Target="https://en.wikipedia.org/wiki/Colquitt_County,_Georgia" TargetMode="External"/><Relationship Id="rId846" Type="http://schemas.openxmlformats.org/officeDocument/2006/relationships/hyperlink" Target="https://en.wikipedia.org/wiki/Georgia_(U.S._state)" TargetMode="External"/><Relationship Id="rId845" Type="http://schemas.openxmlformats.org/officeDocument/2006/relationships/hyperlink" Target="https://en.wikipedia.org/wiki/Coffee_County,_Georgia" TargetMode="External"/><Relationship Id="rId1670" Type="http://schemas.openxmlformats.org/officeDocument/2006/relationships/hyperlink" Target="https://en.wikipedia.org/wiki/Iowa" TargetMode="External"/><Relationship Id="rId840" Type="http://schemas.openxmlformats.org/officeDocument/2006/relationships/hyperlink" Target="https://en.wikipedia.org/wiki/Georgia_(U.S._state)" TargetMode="External"/><Relationship Id="rId1671" Type="http://schemas.openxmlformats.org/officeDocument/2006/relationships/hyperlink" Target="https://en.wikipedia.org/wiki/Howard_County,_Iowa" TargetMode="External"/><Relationship Id="rId1672" Type="http://schemas.openxmlformats.org/officeDocument/2006/relationships/hyperlink" Target="https://en.wikipedia.org/wiki/Iowa" TargetMode="External"/><Relationship Id="rId1673" Type="http://schemas.openxmlformats.org/officeDocument/2006/relationships/hyperlink" Target="https://en.wikipedia.org/wiki/Humboldt_County,_Iowa" TargetMode="External"/><Relationship Id="rId1674" Type="http://schemas.openxmlformats.org/officeDocument/2006/relationships/hyperlink" Target="https://en.wikipedia.org/wiki/Iowa" TargetMode="External"/><Relationship Id="rId1664" Type="http://schemas.openxmlformats.org/officeDocument/2006/relationships/hyperlink" Target="https://en.wikipedia.org/wiki/Iowa" TargetMode="External"/><Relationship Id="rId2995" Type="http://schemas.openxmlformats.org/officeDocument/2006/relationships/hyperlink" Target="https://en.wikipedia.org/wiki/Caldwell_County,_Missouri" TargetMode="External"/><Relationship Id="rId1665" Type="http://schemas.openxmlformats.org/officeDocument/2006/relationships/hyperlink" Target="https://en.wikipedia.org/wiki/Hardin_County,_Iowa" TargetMode="External"/><Relationship Id="rId2996" Type="http://schemas.openxmlformats.org/officeDocument/2006/relationships/hyperlink" Target="https://en.wikipedia.org/wiki/Missouri" TargetMode="External"/><Relationship Id="rId1666" Type="http://schemas.openxmlformats.org/officeDocument/2006/relationships/hyperlink" Target="https://en.wikipedia.org/wiki/Iowa" TargetMode="External"/><Relationship Id="rId2997" Type="http://schemas.openxmlformats.org/officeDocument/2006/relationships/hyperlink" Target="https://en.wikipedia.org/wiki/Callaway_County,_Missouri" TargetMode="External"/><Relationship Id="rId1667" Type="http://schemas.openxmlformats.org/officeDocument/2006/relationships/hyperlink" Target="https://en.wikipedia.org/wiki/Harrison_County,_Iowa" TargetMode="External"/><Relationship Id="rId2998" Type="http://schemas.openxmlformats.org/officeDocument/2006/relationships/hyperlink" Target="https://en.wikipedia.org/wiki/Missouri" TargetMode="External"/><Relationship Id="rId1668" Type="http://schemas.openxmlformats.org/officeDocument/2006/relationships/hyperlink" Target="https://en.wikipedia.org/wiki/Iowa" TargetMode="External"/><Relationship Id="rId2999" Type="http://schemas.openxmlformats.org/officeDocument/2006/relationships/hyperlink" Target="https://en.wikipedia.org/wiki/Camden_County,_Missouri" TargetMode="External"/><Relationship Id="rId1669" Type="http://schemas.openxmlformats.org/officeDocument/2006/relationships/hyperlink" Target="https://en.wikipedia.org/wiki/Henry_County,_Iowa" TargetMode="External"/><Relationship Id="rId839" Type="http://schemas.openxmlformats.org/officeDocument/2006/relationships/hyperlink" Target="https://en.wikipedia.org/wiki/Clayton_County,_Georgia" TargetMode="External"/><Relationship Id="rId838" Type="http://schemas.openxmlformats.org/officeDocument/2006/relationships/hyperlink" Target="https://en.wikipedia.org/wiki/Georgia_(U.S._state)" TargetMode="External"/><Relationship Id="rId833" Type="http://schemas.openxmlformats.org/officeDocument/2006/relationships/hyperlink" Target="https://en.wikipedia.org/wiki/Cherokee_County,_Georgia" TargetMode="External"/><Relationship Id="rId832" Type="http://schemas.openxmlformats.org/officeDocument/2006/relationships/hyperlink" Target="https://en.wikipedia.org/wiki/Georgia_(U.S._state)" TargetMode="External"/><Relationship Id="rId831" Type="http://schemas.openxmlformats.org/officeDocument/2006/relationships/hyperlink" Target="https://en.wikipedia.org/wiki/Chattooga_County,_Georgia" TargetMode="External"/><Relationship Id="rId830" Type="http://schemas.openxmlformats.org/officeDocument/2006/relationships/hyperlink" Target="https://en.wikipedia.org/wiki/Georgia_(U.S._state)" TargetMode="External"/><Relationship Id="rId837" Type="http://schemas.openxmlformats.org/officeDocument/2006/relationships/hyperlink" Target="https://en.wikipedia.org/wiki/Clay_County,_Georgia" TargetMode="External"/><Relationship Id="rId836" Type="http://schemas.openxmlformats.org/officeDocument/2006/relationships/hyperlink" Target="https://en.wikipedia.org/wiki/Georgia_(U.S._state)" TargetMode="External"/><Relationship Id="rId835" Type="http://schemas.openxmlformats.org/officeDocument/2006/relationships/hyperlink" Target="https://en.wikipedia.org/wiki/Clarke_County,_Georgia" TargetMode="External"/><Relationship Id="rId834" Type="http://schemas.openxmlformats.org/officeDocument/2006/relationships/hyperlink" Target="https://en.wikipedia.org/wiki/Georgia_(U.S._state)" TargetMode="External"/><Relationship Id="rId2990" Type="http://schemas.openxmlformats.org/officeDocument/2006/relationships/hyperlink" Target="https://en.wikipedia.org/wiki/Missouri" TargetMode="External"/><Relationship Id="rId1660" Type="http://schemas.openxmlformats.org/officeDocument/2006/relationships/hyperlink" Target="https://en.wikipedia.org/wiki/Iowa" TargetMode="External"/><Relationship Id="rId2991" Type="http://schemas.openxmlformats.org/officeDocument/2006/relationships/hyperlink" Target="https://en.wikipedia.org/wiki/Buchanan_County,_Missouri" TargetMode="External"/><Relationship Id="rId1661" Type="http://schemas.openxmlformats.org/officeDocument/2006/relationships/hyperlink" Target="https://en.wikipedia.org/wiki/Hamilton_County,_Iowa" TargetMode="External"/><Relationship Id="rId2992" Type="http://schemas.openxmlformats.org/officeDocument/2006/relationships/hyperlink" Target="https://en.wikipedia.org/wiki/Missouri" TargetMode="External"/><Relationship Id="rId1662" Type="http://schemas.openxmlformats.org/officeDocument/2006/relationships/hyperlink" Target="https://en.wikipedia.org/wiki/Iowa" TargetMode="External"/><Relationship Id="rId2993" Type="http://schemas.openxmlformats.org/officeDocument/2006/relationships/hyperlink" Target="https://en.wikipedia.org/wiki/Butler_County,_Missouri" TargetMode="External"/><Relationship Id="rId1663" Type="http://schemas.openxmlformats.org/officeDocument/2006/relationships/hyperlink" Target="https://en.wikipedia.org/wiki/Hancock_County,_Iowa" TargetMode="External"/><Relationship Id="rId2994" Type="http://schemas.openxmlformats.org/officeDocument/2006/relationships/hyperlink" Target="https://en.wikipedia.org/wiki/Missouri" TargetMode="External"/><Relationship Id="rId899" Type="http://schemas.openxmlformats.org/officeDocument/2006/relationships/hyperlink" Target="https://en.wikipedia.org/wiki/Gilmer_County,_Georgia" TargetMode="External"/><Relationship Id="rId898" Type="http://schemas.openxmlformats.org/officeDocument/2006/relationships/hyperlink" Target="https://en.wikipedia.org/wiki/Georgia_(U.S._state)" TargetMode="External"/><Relationship Id="rId897" Type="http://schemas.openxmlformats.org/officeDocument/2006/relationships/hyperlink" Target="https://en.wikipedia.org/wiki/Fulton_County,_Georgia" TargetMode="External"/><Relationship Id="rId896" Type="http://schemas.openxmlformats.org/officeDocument/2006/relationships/hyperlink" Target="https://en.wikipedia.org/wiki/Georgia_(U.S._state)" TargetMode="External"/><Relationship Id="rId891" Type="http://schemas.openxmlformats.org/officeDocument/2006/relationships/hyperlink" Target="https://en.wikipedia.org/wiki/Floyd_County,_Georgia" TargetMode="External"/><Relationship Id="rId890" Type="http://schemas.openxmlformats.org/officeDocument/2006/relationships/hyperlink" Target="https://en.wikipedia.org/wiki/Georgia_(U.S._state)" TargetMode="External"/><Relationship Id="rId895" Type="http://schemas.openxmlformats.org/officeDocument/2006/relationships/hyperlink" Target="https://en.wikipedia.org/wiki/Franklin_County,_Georgia" TargetMode="External"/><Relationship Id="rId894" Type="http://schemas.openxmlformats.org/officeDocument/2006/relationships/hyperlink" Target="https://en.wikipedia.org/wiki/Georgia_(U.S._state)" TargetMode="External"/><Relationship Id="rId893" Type="http://schemas.openxmlformats.org/officeDocument/2006/relationships/hyperlink" Target="https://en.wikipedia.org/wiki/Forsyth_County,_Georgia" TargetMode="External"/><Relationship Id="rId892" Type="http://schemas.openxmlformats.org/officeDocument/2006/relationships/hyperlink" Target="https://en.wikipedia.org/wiki/Georgia_(U.S._stat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  <c r="B3" s="1" t="s">
        <v>1</v>
      </c>
      <c r="C3" s="2" t="s">
        <v>2</v>
      </c>
      <c r="D3" s="1" t="s">
        <v>3</v>
      </c>
      <c r="E3" s="1" t="s">
        <v>4</v>
      </c>
    </row>
    <row r="4">
      <c r="A4" s="3" t="s">
        <v>5</v>
      </c>
      <c r="B4" s="4" t="s">
        <v>6</v>
      </c>
      <c r="C4" s="5">
        <v>54571.0</v>
      </c>
      <c r="D4" s="6" t="s">
        <v>7</v>
      </c>
      <c r="E4" s="7" t="s">
        <v>8</v>
      </c>
    </row>
    <row r="5">
      <c r="A5" s="3" t="s">
        <v>5</v>
      </c>
      <c r="B5" s="4" t="s">
        <v>9</v>
      </c>
      <c r="C5" s="5">
        <v>182265.0</v>
      </c>
      <c r="D5" s="6" t="s">
        <v>10</v>
      </c>
      <c r="E5" s="7" t="s">
        <v>11</v>
      </c>
    </row>
    <row r="6">
      <c r="A6" s="3" t="s">
        <v>5</v>
      </c>
      <c r="B6" s="4" t="s">
        <v>12</v>
      </c>
      <c r="C6" s="5">
        <v>27457.0</v>
      </c>
      <c r="D6" s="6" t="s">
        <v>13</v>
      </c>
      <c r="E6" s="7" t="s">
        <v>14</v>
      </c>
    </row>
    <row r="7">
      <c r="A7" s="3" t="s">
        <v>5</v>
      </c>
      <c r="B7" s="4" t="s">
        <v>15</v>
      </c>
      <c r="C7" s="5">
        <v>22915.0</v>
      </c>
      <c r="D7" s="6" t="s">
        <v>16</v>
      </c>
      <c r="E7" s="7" t="s">
        <v>17</v>
      </c>
    </row>
    <row r="8">
      <c r="A8" s="3" t="s">
        <v>5</v>
      </c>
      <c r="B8" s="4" t="s">
        <v>18</v>
      </c>
      <c r="C8" s="5">
        <v>57322.0</v>
      </c>
      <c r="D8" s="6" t="s">
        <v>19</v>
      </c>
      <c r="E8" s="7" t="s">
        <v>20</v>
      </c>
    </row>
    <row r="9">
      <c r="A9" s="3" t="s">
        <v>5</v>
      </c>
      <c r="B9" s="4" t="s">
        <v>21</v>
      </c>
      <c r="C9" s="5">
        <v>10914.0</v>
      </c>
      <c r="D9" s="6" t="s">
        <v>22</v>
      </c>
      <c r="E9" s="7" t="s">
        <v>23</v>
      </c>
    </row>
    <row r="10">
      <c r="A10" s="3" t="s">
        <v>5</v>
      </c>
      <c r="B10" s="4" t="s">
        <v>24</v>
      </c>
      <c r="C10" s="5">
        <v>20947.0</v>
      </c>
      <c r="D10" s="6" t="s">
        <v>25</v>
      </c>
      <c r="E10" s="7" t="s">
        <v>26</v>
      </c>
    </row>
    <row r="11">
      <c r="A11" s="3" t="s">
        <v>5</v>
      </c>
      <c r="B11" s="4" t="s">
        <v>27</v>
      </c>
      <c r="C11" s="5">
        <v>118572.0</v>
      </c>
      <c r="D11" s="6" t="s">
        <v>28</v>
      </c>
      <c r="E11" s="7" t="s">
        <v>29</v>
      </c>
    </row>
    <row r="12">
      <c r="A12" s="3" t="s">
        <v>5</v>
      </c>
      <c r="B12" s="4" t="s">
        <v>30</v>
      </c>
      <c r="C12" s="5">
        <v>34215.0</v>
      </c>
      <c r="D12" s="6" t="s">
        <v>31</v>
      </c>
      <c r="E12" s="7" t="s">
        <v>32</v>
      </c>
    </row>
    <row r="13">
      <c r="A13" s="3" t="s">
        <v>5</v>
      </c>
      <c r="B13" s="4" t="s">
        <v>33</v>
      </c>
      <c r="C13" s="5">
        <v>43643.0</v>
      </c>
      <c r="D13" s="6" t="s">
        <v>34</v>
      </c>
      <c r="E13" s="7" t="s">
        <v>35</v>
      </c>
    </row>
    <row r="14">
      <c r="A14" s="3" t="s">
        <v>5</v>
      </c>
      <c r="B14" s="4" t="s">
        <v>36</v>
      </c>
      <c r="C14" s="5">
        <v>13859.0</v>
      </c>
      <c r="D14" s="6" t="s">
        <v>37</v>
      </c>
      <c r="E14" s="7" t="s">
        <v>38</v>
      </c>
    </row>
    <row r="15">
      <c r="A15" s="3" t="s">
        <v>5</v>
      </c>
      <c r="B15" s="4" t="s">
        <v>39</v>
      </c>
      <c r="C15" s="5">
        <v>25833.0</v>
      </c>
      <c r="D15" s="6" t="s">
        <v>40</v>
      </c>
      <c r="E15" s="7" t="s">
        <v>41</v>
      </c>
    </row>
    <row r="16">
      <c r="A16" s="3" t="s">
        <v>5</v>
      </c>
      <c r="B16" s="4" t="s">
        <v>42</v>
      </c>
      <c r="C16" s="5">
        <v>13932.0</v>
      </c>
      <c r="D16" s="6" t="s">
        <v>43</v>
      </c>
      <c r="E16" s="7" t="s">
        <v>44</v>
      </c>
    </row>
    <row r="17">
      <c r="A17" s="3" t="s">
        <v>5</v>
      </c>
      <c r="B17" s="4" t="s">
        <v>45</v>
      </c>
      <c r="C17" s="5">
        <v>14972.0</v>
      </c>
      <c r="D17" s="6" t="s">
        <v>46</v>
      </c>
      <c r="E17" s="7" t="s">
        <v>47</v>
      </c>
    </row>
    <row r="18">
      <c r="A18" s="3" t="s">
        <v>5</v>
      </c>
      <c r="B18" s="4" t="s">
        <v>48</v>
      </c>
      <c r="C18" s="5">
        <v>49948.0</v>
      </c>
      <c r="D18" s="6" t="s">
        <v>49</v>
      </c>
      <c r="E18" s="7" t="s">
        <v>50</v>
      </c>
    </row>
    <row r="19">
      <c r="A19" s="3" t="s">
        <v>5</v>
      </c>
      <c r="B19" s="4" t="s">
        <v>51</v>
      </c>
      <c r="C19" s="5">
        <v>54428.0</v>
      </c>
      <c r="D19" s="6" t="s">
        <v>52</v>
      </c>
      <c r="E19" s="7" t="s">
        <v>53</v>
      </c>
    </row>
    <row r="20">
      <c r="A20" s="3" t="s">
        <v>5</v>
      </c>
      <c r="B20" s="4" t="s">
        <v>54</v>
      </c>
      <c r="C20" s="5">
        <v>13228.0</v>
      </c>
      <c r="D20" s="6" t="s">
        <v>55</v>
      </c>
      <c r="E20" s="7" t="s">
        <v>56</v>
      </c>
    </row>
    <row r="21">
      <c r="A21" s="3" t="s">
        <v>5</v>
      </c>
      <c r="B21" s="4" t="s">
        <v>57</v>
      </c>
      <c r="C21" s="5">
        <v>11539.0</v>
      </c>
      <c r="D21" s="6" t="s">
        <v>58</v>
      </c>
      <c r="E21" s="7" t="s">
        <v>59</v>
      </c>
    </row>
    <row r="22">
      <c r="A22" s="3" t="s">
        <v>5</v>
      </c>
      <c r="B22" s="4" t="s">
        <v>60</v>
      </c>
      <c r="C22" s="5">
        <v>37765.0</v>
      </c>
      <c r="D22" s="6" t="s">
        <v>61</v>
      </c>
      <c r="E22" s="7" t="s">
        <v>62</v>
      </c>
    </row>
    <row r="23">
      <c r="A23" s="3" t="s">
        <v>5</v>
      </c>
      <c r="B23" s="4" t="s">
        <v>63</v>
      </c>
      <c r="C23" s="5">
        <v>13906.0</v>
      </c>
      <c r="D23" s="6" t="s">
        <v>64</v>
      </c>
      <c r="E23" s="7" t="s">
        <v>65</v>
      </c>
    </row>
    <row r="24">
      <c r="A24" s="3" t="s">
        <v>5</v>
      </c>
      <c r="B24" s="4" t="s">
        <v>66</v>
      </c>
      <c r="C24" s="5">
        <v>80406.0</v>
      </c>
      <c r="D24" s="6" t="s">
        <v>67</v>
      </c>
      <c r="E24" s="7" t="s">
        <v>68</v>
      </c>
    </row>
    <row r="25">
      <c r="A25" s="3" t="s">
        <v>5</v>
      </c>
      <c r="B25" s="4" t="s">
        <v>69</v>
      </c>
      <c r="C25" s="5">
        <v>50251.0</v>
      </c>
      <c r="D25" s="6" t="s">
        <v>70</v>
      </c>
      <c r="E25" s="7" t="s">
        <v>71</v>
      </c>
    </row>
    <row r="26">
      <c r="A26" s="3" t="s">
        <v>5</v>
      </c>
      <c r="B26" s="4" t="s">
        <v>72</v>
      </c>
      <c r="C26" s="5">
        <v>43820.0</v>
      </c>
      <c r="D26" s="6" t="s">
        <v>73</v>
      </c>
      <c r="E26" s="7" t="s">
        <v>74</v>
      </c>
    </row>
    <row r="27">
      <c r="A27" s="3" t="s">
        <v>5</v>
      </c>
      <c r="B27" s="4" t="s">
        <v>75</v>
      </c>
      <c r="C27" s="5">
        <v>71109.0</v>
      </c>
      <c r="D27" s="6" t="s">
        <v>76</v>
      </c>
      <c r="E27" s="7" t="s">
        <v>77</v>
      </c>
    </row>
    <row r="28">
      <c r="A28" s="3" t="s">
        <v>5</v>
      </c>
      <c r="B28" s="4" t="s">
        <v>78</v>
      </c>
      <c r="C28" s="5">
        <v>79303.0</v>
      </c>
      <c r="D28" s="6" t="s">
        <v>79</v>
      </c>
      <c r="E28" s="7" t="s">
        <v>80</v>
      </c>
    </row>
    <row r="29">
      <c r="A29" s="3" t="s">
        <v>5</v>
      </c>
      <c r="B29" s="4" t="s">
        <v>81</v>
      </c>
      <c r="C29" s="5">
        <v>38319.0</v>
      </c>
      <c r="D29" s="6" t="s">
        <v>82</v>
      </c>
      <c r="E29" s="7" t="s">
        <v>83</v>
      </c>
    </row>
    <row r="30">
      <c r="A30" s="3" t="s">
        <v>5</v>
      </c>
      <c r="B30" s="4" t="s">
        <v>84</v>
      </c>
      <c r="C30" s="5">
        <v>104430.0</v>
      </c>
      <c r="D30" s="6" t="s">
        <v>85</v>
      </c>
      <c r="E30" s="7" t="s">
        <v>86</v>
      </c>
    </row>
    <row r="31">
      <c r="A31" s="3" t="s">
        <v>5</v>
      </c>
      <c r="B31" s="4" t="s">
        <v>87</v>
      </c>
      <c r="C31" s="5">
        <v>17241.0</v>
      </c>
      <c r="D31" s="6" t="s">
        <v>88</v>
      </c>
      <c r="E31" s="7" t="s">
        <v>89</v>
      </c>
    </row>
    <row r="32">
      <c r="A32" s="3" t="s">
        <v>5</v>
      </c>
      <c r="B32" s="4" t="s">
        <v>90</v>
      </c>
      <c r="C32" s="5">
        <v>31704.0</v>
      </c>
      <c r="D32" s="6" t="s">
        <v>91</v>
      </c>
      <c r="E32" s="7" t="s">
        <v>92</v>
      </c>
    </row>
    <row r="33">
      <c r="A33" s="3" t="s">
        <v>5</v>
      </c>
      <c r="B33" s="4" t="s">
        <v>93</v>
      </c>
      <c r="C33" s="5">
        <v>26790.0</v>
      </c>
      <c r="D33" s="6" t="s">
        <v>94</v>
      </c>
      <c r="E33" s="7" t="s">
        <v>95</v>
      </c>
    </row>
    <row r="34">
      <c r="A34" s="3" t="s">
        <v>5</v>
      </c>
      <c r="B34" s="4" t="s">
        <v>96</v>
      </c>
      <c r="C34" s="5">
        <v>9045.0</v>
      </c>
      <c r="D34" s="6" t="s">
        <v>97</v>
      </c>
      <c r="E34" s="7" t="s">
        <v>98</v>
      </c>
    </row>
    <row r="35">
      <c r="A35" s="3" t="s">
        <v>5</v>
      </c>
      <c r="B35" s="4" t="s">
        <v>99</v>
      </c>
      <c r="C35" s="5">
        <v>15760.0</v>
      </c>
      <c r="D35" s="6" t="s">
        <v>100</v>
      </c>
      <c r="E35" s="7" t="s">
        <v>101</v>
      </c>
    </row>
    <row r="36">
      <c r="A36" s="3" t="s">
        <v>5</v>
      </c>
      <c r="B36" s="4" t="s">
        <v>102</v>
      </c>
      <c r="C36" s="5">
        <v>17302.0</v>
      </c>
      <c r="D36" s="6" t="s">
        <v>103</v>
      </c>
      <c r="E36" s="7" t="s">
        <v>104</v>
      </c>
    </row>
    <row r="37">
      <c r="A37" s="3" t="s">
        <v>5</v>
      </c>
      <c r="B37" s="4" t="s">
        <v>105</v>
      </c>
      <c r="C37" s="5">
        <v>101547.0</v>
      </c>
      <c r="D37" s="6" t="s">
        <v>106</v>
      </c>
      <c r="E37" s="7" t="s">
        <v>107</v>
      </c>
    </row>
    <row r="38">
      <c r="A38" s="3" t="s">
        <v>5</v>
      </c>
      <c r="B38" s="4" t="s">
        <v>108</v>
      </c>
      <c r="C38" s="5">
        <v>53227.0</v>
      </c>
      <c r="D38" s="6" t="s">
        <v>109</v>
      </c>
      <c r="E38" s="7" t="s">
        <v>110</v>
      </c>
    </row>
    <row r="39">
      <c r="A39" s="3" t="s">
        <v>5</v>
      </c>
      <c r="B39" s="4" t="s">
        <v>111</v>
      </c>
      <c r="C39" s="5">
        <v>658466.0</v>
      </c>
      <c r="D39" s="6" t="s">
        <v>112</v>
      </c>
      <c r="E39" s="7" t="s">
        <v>113</v>
      </c>
    </row>
    <row r="40">
      <c r="A40" s="3" t="s">
        <v>5</v>
      </c>
      <c r="B40" s="4" t="s">
        <v>114</v>
      </c>
      <c r="C40" s="5">
        <v>14564.0</v>
      </c>
      <c r="D40" s="6" t="s">
        <v>115</v>
      </c>
      <c r="E40" s="7" t="s">
        <v>116</v>
      </c>
    </row>
    <row r="41">
      <c r="A41" s="3" t="s">
        <v>5</v>
      </c>
      <c r="B41" s="4" t="s">
        <v>117</v>
      </c>
      <c r="C41" s="5">
        <v>92709.0</v>
      </c>
      <c r="D41" s="6" t="s">
        <v>118</v>
      </c>
      <c r="E41" s="7" t="s">
        <v>119</v>
      </c>
    </row>
    <row r="42">
      <c r="A42" s="3" t="s">
        <v>5</v>
      </c>
      <c r="B42" s="4" t="s">
        <v>120</v>
      </c>
      <c r="C42" s="5">
        <v>34339.0</v>
      </c>
      <c r="D42" s="6" t="s">
        <v>121</v>
      </c>
      <c r="E42" s="7" t="s">
        <v>122</v>
      </c>
    </row>
    <row r="43">
      <c r="A43" s="3" t="s">
        <v>5</v>
      </c>
      <c r="B43" s="4" t="s">
        <v>123</v>
      </c>
      <c r="C43" s="5">
        <v>140247.0</v>
      </c>
      <c r="D43" s="6" t="s">
        <v>124</v>
      </c>
      <c r="E43" s="7" t="s">
        <v>125</v>
      </c>
    </row>
    <row r="44">
      <c r="A44" s="3" t="s">
        <v>5</v>
      </c>
      <c r="B44" s="4" t="s">
        <v>126</v>
      </c>
      <c r="C44" s="5">
        <v>82782.0</v>
      </c>
      <c r="D44" s="6" t="s">
        <v>127</v>
      </c>
      <c r="E44" s="7" t="s">
        <v>128</v>
      </c>
    </row>
    <row r="45">
      <c r="A45" s="3" t="s">
        <v>5</v>
      </c>
      <c r="B45" s="4" t="s">
        <v>129</v>
      </c>
      <c r="C45" s="5">
        <v>11299.0</v>
      </c>
      <c r="D45" s="6" t="s">
        <v>130</v>
      </c>
      <c r="E45" s="7" t="s">
        <v>131</v>
      </c>
    </row>
    <row r="46">
      <c r="A46" s="3" t="s">
        <v>5</v>
      </c>
      <c r="B46" s="4" t="s">
        <v>132</v>
      </c>
      <c r="C46" s="5">
        <v>21452.0</v>
      </c>
      <c r="D46" s="6" t="s">
        <v>133</v>
      </c>
      <c r="E46" s="7" t="s">
        <v>134</v>
      </c>
    </row>
    <row r="47">
      <c r="A47" s="3" t="s">
        <v>5</v>
      </c>
      <c r="B47" s="4" t="s">
        <v>135</v>
      </c>
      <c r="C47" s="5">
        <v>334811.0</v>
      </c>
      <c r="D47" s="6" t="s">
        <v>136</v>
      </c>
      <c r="E47" s="7" t="s">
        <v>137</v>
      </c>
    </row>
    <row r="48">
      <c r="A48" s="3" t="s">
        <v>5</v>
      </c>
      <c r="B48" s="4" t="s">
        <v>138</v>
      </c>
      <c r="C48" s="5">
        <v>21027.0</v>
      </c>
      <c r="D48" s="6" t="s">
        <v>139</v>
      </c>
      <c r="E48" s="7" t="s">
        <v>140</v>
      </c>
    </row>
    <row r="49">
      <c r="A49" s="3" t="s">
        <v>5</v>
      </c>
      <c r="B49" s="4" t="s">
        <v>141</v>
      </c>
      <c r="C49" s="5">
        <v>30776.0</v>
      </c>
      <c r="D49" s="8" t="str">
        <f>+34.138219°</f>
        <v>#ERROR!</v>
      </c>
      <c r="E49" s="7" t="s">
        <v>142</v>
      </c>
    </row>
    <row r="50">
      <c r="A50" s="3" t="s">
        <v>5</v>
      </c>
      <c r="B50" s="4" t="s">
        <v>143</v>
      </c>
      <c r="C50" s="5">
        <v>93019.0</v>
      </c>
      <c r="D50" s="8" t="str">
        <f>+34.309564°</f>
        <v>#ERROR!</v>
      </c>
      <c r="E50" s="7" t="s">
        <v>144</v>
      </c>
    </row>
    <row r="51">
      <c r="A51" s="3" t="s">
        <v>5</v>
      </c>
      <c r="B51" s="4" t="s">
        <v>145</v>
      </c>
      <c r="C51" s="5">
        <v>412992.0</v>
      </c>
      <c r="D51" s="8" t="str">
        <f>+30.684573°</f>
        <v>#ERROR!</v>
      </c>
      <c r="E51" s="7" t="s">
        <v>146</v>
      </c>
    </row>
    <row r="52">
      <c r="A52" s="3" t="s">
        <v>5</v>
      </c>
      <c r="B52" s="4" t="s">
        <v>147</v>
      </c>
      <c r="C52" s="5">
        <v>23068.0</v>
      </c>
      <c r="D52" s="8" t="str">
        <f>+31.580332°</f>
        <v>#ERROR!</v>
      </c>
      <c r="E52" s="7" t="s">
        <v>148</v>
      </c>
    </row>
    <row r="53">
      <c r="A53" s="3" t="s">
        <v>5</v>
      </c>
      <c r="B53" s="4" t="s">
        <v>149</v>
      </c>
      <c r="C53" s="5">
        <v>229363.0</v>
      </c>
      <c r="D53" s="8" t="str">
        <f>+32.203651°</f>
        <v>#ERROR!</v>
      </c>
      <c r="E53" s="7" t="s">
        <v>150</v>
      </c>
    </row>
    <row r="54">
      <c r="A54" s="3" t="s">
        <v>5</v>
      </c>
      <c r="B54" s="4" t="s">
        <v>151</v>
      </c>
      <c r="C54" s="5">
        <v>119490.0</v>
      </c>
      <c r="D54" s="8" t="str">
        <f>+34.454484°</f>
        <v>#ERROR!</v>
      </c>
      <c r="E54" s="7" t="s">
        <v>152</v>
      </c>
    </row>
    <row r="55">
      <c r="A55" s="3" t="s">
        <v>5</v>
      </c>
      <c r="B55" s="4" t="s">
        <v>153</v>
      </c>
      <c r="C55" s="5">
        <v>10591.0</v>
      </c>
      <c r="D55" s="8" t="str">
        <f>+32.639005°</f>
        <v>#ERROR!</v>
      </c>
      <c r="E55" s="7" t="s">
        <v>154</v>
      </c>
    </row>
    <row r="56">
      <c r="A56" s="3" t="s">
        <v>5</v>
      </c>
      <c r="B56" s="4" t="s">
        <v>155</v>
      </c>
      <c r="C56" s="5">
        <v>19746.0</v>
      </c>
      <c r="D56" s="8" t="str">
        <f>+33.296809°</f>
        <v>#ERROR!</v>
      </c>
      <c r="E56" s="7" t="s">
        <v>156</v>
      </c>
    </row>
    <row r="57">
      <c r="A57" s="3" t="s">
        <v>5</v>
      </c>
      <c r="B57" s="4" t="s">
        <v>157</v>
      </c>
      <c r="C57" s="5">
        <v>32899.0</v>
      </c>
      <c r="D57" s="8" t="str">
        <f>+31.798726°</f>
        <v>#ERROR!</v>
      </c>
      <c r="E57" s="7" t="s">
        <v>158</v>
      </c>
    </row>
    <row r="58">
      <c r="A58" s="3" t="s">
        <v>5</v>
      </c>
      <c r="B58" s="4" t="s">
        <v>159</v>
      </c>
      <c r="C58" s="5">
        <v>22913.0</v>
      </c>
      <c r="D58" s="8" t="str">
        <f>+33.296475°</f>
        <v>#ERROR!</v>
      </c>
      <c r="E58" s="7" t="s">
        <v>160</v>
      </c>
    </row>
    <row r="59">
      <c r="A59" s="3" t="s">
        <v>5</v>
      </c>
      <c r="B59" s="4" t="s">
        <v>161</v>
      </c>
      <c r="C59" s="5">
        <v>52947.0</v>
      </c>
      <c r="D59" s="8" t="str">
        <f>+32.289811°</f>
        <v>#ERROR!</v>
      </c>
      <c r="E59" s="7" t="s">
        <v>162</v>
      </c>
    </row>
    <row r="60">
      <c r="A60" s="3" t="s">
        <v>5</v>
      </c>
      <c r="B60" s="4" t="s">
        <v>163</v>
      </c>
      <c r="C60" s="5">
        <v>83593.0</v>
      </c>
      <c r="D60" s="8" t="str">
        <f>+33.712963°</f>
        <v>#ERROR!</v>
      </c>
      <c r="E60" s="7" t="s">
        <v>164</v>
      </c>
    </row>
    <row r="61">
      <c r="A61" s="3" t="s">
        <v>5</v>
      </c>
      <c r="B61" s="4" t="s">
        <v>165</v>
      </c>
      <c r="C61" s="5">
        <v>195085.0</v>
      </c>
      <c r="D61" s="8" t="str">
        <f>+33.262937°</f>
        <v>#ERROR!</v>
      </c>
      <c r="E61" s="7" t="s">
        <v>166</v>
      </c>
    </row>
    <row r="62">
      <c r="A62" s="3" t="s">
        <v>5</v>
      </c>
      <c r="B62" s="4" t="s">
        <v>167</v>
      </c>
      <c r="C62" s="5">
        <v>13763.0</v>
      </c>
      <c r="D62" s="8" t="str">
        <f>+32.597481°</f>
        <v>#ERROR!</v>
      </c>
      <c r="E62" s="7" t="s">
        <v>168</v>
      </c>
    </row>
    <row r="63">
      <c r="A63" s="3" t="s">
        <v>5</v>
      </c>
      <c r="B63" s="4" t="s">
        <v>169</v>
      </c>
      <c r="C63" s="5">
        <v>82291.0</v>
      </c>
      <c r="D63" s="8" t="str">
        <f>+33.369277°</f>
        <v>#ERROR!</v>
      </c>
      <c r="E63" s="7" t="s">
        <v>170</v>
      </c>
    </row>
    <row r="64">
      <c r="A64" s="3" t="s">
        <v>5</v>
      </c>
      <c r="B64" s="4" t="s">
        <v>171</v>
      </c>
      <c r="C64" s="5">
        <v>41616.0</v>
      </c>
      <c r="D64" s="8" t="str">
        <f>+32.863369°</f>
        <v>#ERROR!</v>
      </c>
      <c r="E64" s="7" t="s">
        <v>172</v>
      </c>
    </row>
    <row r="65">
      <c r="A65" s="3" t="s">
        <v>5</v>
      </c>
      <c r="B65" s="4" t="s">
        <v>173</v>
      </c>
      <c r="C65" s="5">
        <v>194656.0</v>
      </c>
      <c r="D65" s="8" t="str">
        <f>+33.290202°</f>
        <v>#ERROR!</v>
      </c>
      <c r="E65" s="7" t="s">
        <v>174</v>
      </c>
    </row>
    <row r="66">
      <c r="A66" s="3" t="s">
        <v>5</v>
      </c>
      <c r="B66" s="4" t="s">
        <v>175</v>
      </c>
      <c r="C66" s="5">
        <v>67023.0</v>
      </c>
      <c r="D66" s="8" t="str">
        <f>+33.791571°</f>
        <v>#ERROR!</v>
      </c>
      <c r="E66" s="7" t="s">
        <v>176</v>
      </c>
    </row>
    <row r="67">
      <c r="A67" s="3" t="s">
        <v>5</v>
      </c>
      <c r="B67" s="4" t="s">
        <v>177</v>
      </c>
      <c r="C67" s="5">
        <v>17581.0</v>
      </c>
      <c r="D67" s="8" t="str">
        <f>+31.406974°</f>
        <v>#ERROR!</v>
      </c>
      <c r="E67" s="7" t="s">
        <v>178</v>
      </c>
    </row>
    <row r="68">
      <c r="A68" s="3" t="s">
        <v>5</v>
      </c>
      <c r="B68" s="4" t="s">
        <v>179</v>
      </c>
      <c r="C68" s="5">
        <v>11670.0</v>
      </c>
      <c r="D68" s="8" t="str">
        <f>+31.990330°</f>
        <v>#ERROR!</v>
      </c>
      <c r="E68" s="7" t="s">
        <v>180</v>
      </c>
    </row>
    <row r="69">
      <c r="A69" s="3" t="s">
        <v>5</v>
      </c>
      <c r="B69" s="4" t="s">
        <v>181</v>
      </c>
      <c r="C69" s="5">
        <v>24484.0</v>
      </c>
      <c r="D69" s="8" t="str">
        <f>+34.155888°</f>
        <v>#ERROR!</v>
      </c>
      <c r="E69" s="7" t="s">
        <v>182</v>
      </c>
    </row>
    <row r="70">
      <c r="A70" s="3" t="s">
        <v>183</v>
      </c>
      <c r="B70" s="4" t="s">
        <v>184</v>
      </c>
      <c r="C70" s="5">
        <v>3141.0</v>
      </c>
      <c r="D70" s="8" t="str">
        <f>+55.243722°</f>
        <v>#ERROR!</v>
      </c>
      <c r="E70" s="7" t="s">
        <v>185</v>
      </c>
    </row>
    <row r="71">
      <c r="A71" s="3" t="s">
        <v>183</v>
      </c>
      <c r="B71" s="4" t="s">
        <v>186</v>
      </c>
      <c r="C71" s="5">
        <v>5561.0</v>
      </c>
      <c r="D71" s="8" t="str">
        <f>+51.959447°</f>
        <v>#ERROR!</v>
      </c>
      <c r="E71" s="7" t="s">
        <v>187</v>
      </c>
    </row>
    <row r="72">
      <c r="A72" s="3" t="s">
        <v>183</v>
      </c>
      <c r="B72" s="4" t="s">
        <v>188</v>
      </c>
      <c r="C72" s="5">
        <v>291826.0</v>
      </c>
      <c r="D72" s="8" t="str">
        <f>+61.177549°</f>
        <v>#ERROR!</v>
      </c>
      <c r="E72" s="7" t="s">
        <v>189</v>
      </c>
    </row>
    <row r="73">
      <c r="A73" s="3" t="s">
        <v>183</v>
      </c>
      <c r="B73" s="4" t="s">
        <v>190</v>
      </c>
      <c r="C73" s="5">
        <v>17013.0</v>
      </c>
      <c r="D73" s="8" t="str">
        <f>+60.928916°</f>
        <v>#ERROR!</v>
      </c>
      <c r="E73" s="7" t="s">
        <v>191</v>
      </c>
    </row>
    <row r="74">
      <c r="A74" s="3" t="s">
        <v>183</v>
      </c>
      <c r="B74" s="4" t="s">
        <v>192</v>
      </c>
      <c r="C74" s="7">
        <v>997.0</v>
      </c>
      <c r="D74" s="8" t="str">
        <f>+58.731373°</f>
        <v>#ERROR!</v>
      </c>
      <c r="E74" s="7" t="s">
        <v>193</v>
      </c>
    </row>
    <row r="75">
      <c r="A75" s="3" t="s">
        <v>183</v>
      </c>
      <c r="B75" s="4" t="s">
        <v>194</v>
      </c>
      <c r="C75" s="5">
        <v>1826.0</v>
      </c>
      <c r="D75" s="8" t="str">
        <f>+63.682732°</f>
        <v>#ERROR!</v>
      </c>
      <c r="E75" s="7" t="s">
        <v>195</v>
      </c>
    </row>
    <row r="76">
      <c r="A76" s="3" t="s">
        <v>183</v>
      </c>
      <c r="B76" s="4" t="s">
        <v>196</v>
      </c>
      <c r="C76" s="5">
        <v>4847.0</v>
      </c>
      <c r="D76" s="8" t="str">
        <f>+59.824816°</f>
        <v>#ERROR!</v>
      </c>
      <c r="E76" s="7" t="s">
        <v>197</v>
      </c>
    </row>
    <row r="77">
      <c r="A77" s="3" t="s">
        <v>183</v>
      </c>
      <c r="B77" s="4" t="s">
        <v>198</v>
      </c>
      <c r="C77" s="5">
        <v>97581.0</v>
      </c>
      <c r="D77" s="8" t="str">
        <f>+64.690832°</f>
        <v>#ERROR!</v>
      </c>
      <c r="E77" s="7" t="s">
        <v>199</v>
      </c>
    </row>
    <row r="78">
      <c r="A78" s="3" t="s">
        <v>183</v>
      </c>
      <c r="B78" s="4" t="s">
        <v>200</v>
      </c>
      <c r="C78" s="5">
        <v>2508.0</v>
      </c>
      <c r="D78" s="8" t="str">
        <f>+59.099905°</f>
        <v>#ERROR!</v>
      </c>
      <c r="E78" s="7" t="s">
        <v>201</v>
      </c>
    </row>
    <row r="79">
      <c r="A79" s="3" t="s">
        <v>183</v>
      </c>
      <c r="B79" s="4" t="s">
        <v>202</v>
      </c>
      <c r="C79" s="5">
        <v>2150.0</v>
      </c>
      <c r="D79" s="8" t="str">
        <f>+58.076434°</f>
        <v>#ERROR!</v>
      </c>
      <c r="E79" s="7" t="s">
        <v>203</v>
      </c>
    </row>
    <row r="80">
      <c r="A80" s="3" t="s">
        <v>183</v>
      </c>
      <c r="B80" s="4" t="s">
        <v>204</v>
      </c>
      <c r="C80" s="5">
        <v>31275.0</v>
      </c>
      <c r="D80" s="8" t="str">
        <f>+58.372700°</f>
        <v>#ERROR!</v>
      </c>
      <c r="E80" s="7" t="s">
        <v>205</v>
      </c>
    </row>
    <row r="81">
      <c r="A81" s="3" t="s">
        <v>183</v>
      </c>
      <c r="B81" s="4" t="s">
        <v>206</v>
      </c>
      <c r="C81" s="5">
        <v>55400.0</v>
      </c>
      <c r="D81" s="8" t="str">
        <f>+60.366373°</f>
        <v>#ERROR!</v>
      </c>
      <c r="E81" s="7" t="s">
        <v>207</v>
      </c>
    </row>
    <row r="82">
      <c r="A82" s="3" t="s">
        <v>183</v>
      </c>
      <c r="B82" s="4" t="s">
        <v>208</v>
      </c>
      <c r="C82" s="5">
        <v>13477.0</v>
      </c>
      <c r="D82" s="8" t="str">
        <f>+55.449938°</f>
        <v>#ERROR!</v>
      </c>
      <c r="E82" s="7" t="s">
        <v>209</v>
      </c>
    </row>
    <row r="83">
      <c r="A83" s="3" t="s">
        <v>183</v>
      </c>
      <c r="B83" s="4" t="s">
        <v>210</v>
      </c>
      <c r="C83" s="5">
        <v>13592.0</v>
      </c>
      <c r="D83" s="8" t="str">
        <f>+57.553611°</f>
        <v>#ERROR!</v>
      </c>
      <c r="E83" s="7" t="s">
        <v>211</v>
      </c>
    </row>
    <row r="84">
      <c r="A84" s="3" t="s">
        <v>183</v>
      </c>
      <c r="B84" s="4" t="s">
        <v>212</v>
      </c>
      <c r="C84" s="5">
        <v>1631.0</v>
      </c>
      <c r="D84" s="8" t="str">
        <f>+58.205065°</f>
        <v>#ERROR!</v>
      </c>
      <c r="E84" s="7" t="s">
        <v>213</v>
      </c>
    </row>
    <row r="85">
      <c r="A85" s="3" t="s">
        <v>183</v>
      </c>
      <c r="B85" s="4" t="s">
        <v>214</v>
      </c>
      <c r="C85" s="5">
        <v>88995.0</v>
      </c>
      <c r="D85" s="8" t="str">
        <f>+62.182174°</f>
        <v>#ERROR!</v>
      </c>
      <c r="E85" s="7" t="s">
        <v>215</v>
      </c>
    </row>
    <row r="86">
      <c r="A86" s="3" t="s">
        <v>183</v>
      </c>
      <c r="B86" s="4" t="s">
        <v>216</v>
      </c>
      <c r="C86" s="5">
        <v>9492.0</v>
      </c>
      <c r="D86" s="8" t="str">
        <f>+64.783686°</f>
        <v>#ERROR!</v>
      </c>
      <c r="E86" s="7" t="s">
        <v>217</v>
      </c>
    </row>
    <row r="87">
      <c r="A87" s="3" t="s">
        <v>183</v>
      </c>
      <c r="B87" s="4" t="s">
        <v>218</v>
      </c>
      <c r="C87" s="5">
        <v>9430.0</v>
      </c>
      <c r="D87" s="8" t="str">
        <f>+69.449343°</f>
        <v>#ERROR!</v>
      </c>
      <c r="E87" s="7" t="s">
        <v>219</v>
      </c>
    </row>
    <row r="88">
      <c r="A88" s="3" t="s">
        <v>183</v>
      </c>
      <c r="B88" s="4" t="s">
        <v>220</v>
      </c>
      <c r="C88" s="5">
        <v>7523.0</v>
      </c>
      <c r="D88" s="8" t="str">
        <f>+67.005066°</f>
        <v>#ERROR!</v>
      </c>
      <c r="E88" s="7" t="s">
        <v>221</v>
      </c>
    </row>
    <row r="89">
      <c r="A89" s="3" t="s">
        <v>183</v>
      </c>
      <c r="B89" s="4" t="s">
        <v>222</v>
      </c>
      <c r="C89" s="5">
        <v>3815.0</v>
      </c>
      <c r="D89" s="8" t="str">
        <f>+56.639612°</f>
        <v>#ERROR!</v>
      </c>
      <c r="E89" s="7" t="s">
        <v>223</v>
      </c>
    </row>
    <row r="90">
      <c r="A90" s="3" t="s">
        <v>183</v>
      </c>
      <c r="B90" s="4" t="s">
        <v>224</v>
      </c>
      <c r="C90" s="5">
        <v>5559.0</v>
      </c>
      <c r="D90" s="8" t="str">
        <f>+55.415683°</f>
        <v>#ERROR!</v>
      </c>
      <c r="E90" s="7" t="s">
        <v>225</v>
      </c>
    </row>
    <row r="91">
      <c r="A91" s="3" t="s">
        <v>183</v>
      </c>
      <c r="B91" s="4" t="s">
        <v>226</v>
      </c>
      <c r="C91" s="5">
        <v>8881.0</v>
      </c>
      <c r="D91" s="8" t="str">
        <f>+57.142509°</f>
        <v>#ERROR!</v>
      </c>
      <c r="E91" s="7" t="s">
        <v>227</v>
      </c>
    </row>
    <row r="92">
      <c r="A92" s="3" t="s">
        <v>183</v>
      </c>
      <c r="B92" s="4" t="s">
        <v>228</v>
      </c>
      <c r="C92" s="7">
        <v>968.0</v>
      </c>
      <c r="D92" s="8" t="str">
        <f>+59.575097°</f>
        <v>#ERROR!</v>
      </c>
      <c r="E92" s="7" t="s">
        <v>229</v>
      </c>
    </row>
    <row r="93">
      <c r="A93" s="3" t="s">
        <v>183</v>
      </c>
      <c r="B93" s="4" t="s">
        <v>230</v>
      </c>
      <c r="C93" s="5">
        <v>7029.0</v>
      </c>
      <c r="D93" s="8" t="str">
        <f>+63.864997°</f>
        <v>#ERROR!</v>
      </c>
      <c r="E93" s="7" t="s">
        <v>231</v>
      </c>
    </row>
    <row r="94">
      <c r="A94" s="3" t="s">
        <v>183</v>
      </c>
      <c r="B94" s="4" t="s">
        <v>232</v>
      </c>
      <c r="C94" s="5">
        <v>9636.0</v>
      </c>
      <c r="D94" s="8" t="str">
        <f>+61.349840°</f>
        <v>#ERROR!</v>
      </c>
      <c r="E94" s="7" t="s">
        <v>233</v>
      </c>
    </row>
    <row r="95">
      <c r="A95" s="3" t="s">
        <v>183</v>
      </c>
      <c r="B95" s="4" t="s">
        <v>234</v>
      </c>
      <c r="C95" s="5">
        <v>7459.0</v>
      </c>
      <c r="D95" s="8" t="str">
        <f>+62.283174°</f>
        <v>#ERROR!</v>
      </c>
      <c r="E95" s="7" t="s">
        <v>235</v>
      </c>
    </row>
    <row r="96">
      <c r="A96" s="3" t="s">
        <v>183</v>
      </c>
      <c r="B96" s="4" t="s">
        <v>236</v>
      </c>
      <c r="C96" s="5">
        <v>2369.0</v>
      </c>
      <c r="D96" s="8" t="str">
        <f>+56.279121°</f>
        <v>#ERROR!</v>
      </c>
      <c r="E96" s="7" t="s">
        <v>237</v>
      </c>
    </row>
    <row r="97">
      <c r="A97" s="3" t="s">
        <v>183</v>
      </c>
      <c r="B97" s="4" t="s">
        <v>238</v>
      </c>
      <c r="C97" s="7">
        <v>662.0</v>
      </c>
      <c r="D97" s="8" t="str">
        <f>+59.999083°</f>
        <v>#ERROR!</v>
      </c>
      <c r="E97" s="7" t="s">
        <v>239</v>
      </c>
    </row>
    <row r="98">
      <c r="A98" s="3" t="s">
        <v>183</v>
      </c>
      <c r="B98" s="4" t="s">
        <v>240</v>
      </c>
      <c r="C98" s="5">
        <v>5588.0</v>
      </c>
      <c r="D98" s="8" t="str">
        <f>+65.376131°</f>
        <v>#ERROR!</v>
      </c>
      <c r="E98" s="7" t="s">
        <v>241</v>
      </c>
    </row>
    <row r="99">
      <c r="A99" s="3" t="s">
        <v>242</v>
      </c>
      <c r="B99" s="4" t="s">
        <v>243</v>
      </c>
      <c r="C99" s="5">
        <v>71518.0</v>
      </c>
      <c r="D99" s="8" t="str">
        <f>+35.385845°</f>
        <v>#ERROR!</v>
      </c>
      <c r="E99" s="7" t="s">
        <v>244</v>
      </c>
    </row>
    <row r="100">
      <c r="A100" s="3" t="s">
        <v>242</v>
      </c>
      <c r="B100" s="4" t="s">
        <v>245</v>
      </c>
      <c r="C100" s="5">
        <v>131346.0</v>
      </c>
      <c r="D100" s="8" t="str">
        <f>+31.881793°</f>
        <v>#ERROR!</v>
      </c>
      <c r="E100" s="7" t="s">
        <v>246</v>
      </c>
    </row>
    <row r="101">
      <c r="A101" s="3" t="s">
        <v>242</v>
      </c>
      <c r="B101" s="4" t="s">
        <v>247</v>
      </c>
      <c r="C101" s="5">
        <v>134421.0</v>
      </c>
      <c r="D101" s="8" t="str">
        <f>+35.829692°</f>
        <v>#ERROR!</v>
      </c>
      <c r="E101" s="7" t="s">
        <v>248</v>
      </c>
    </row>
    <row r="102">
      <c r="A102" s="3" t="s">
        <v>242</v>
      </c>
      <c r="B102" s="4" t="s">
        <v>249</v>
      </c>
      <c r="C102" s="5">
        <v>53597.0</v>
      </c>
      <c r="D102" s="8" t="str">
        <f>+33.789618°</f>
        <v>#ERROR!</v>
      </c>
      <c r="E102" s="7" t="s">
        <v>250</v>
      </c>
    </row>
    <row r="103">
      <c r="A103" s="3" t="s">
        <v>242</v>
      </c>
      <c r="B103" s="4" t="s">
        <v>251</v>
      </c>
      <c r="C103" s="5">
        <v>37220.0</v>
      </c>
      <c r="D103" s="8" t="str">
        <f>+32.931828°</f>
        <v>#ERROR!</v>
      </c>
      <c r="E103" s="7" t="s">
        <v>252</v>
      </c>
    </row>
    <row r="104">
      <c r="A104" s="3" t="s">
        <v>242</v>
      </c>
      <c r="B104" s="4" t="s">
        <v>253</v>
      </c>
      <c r="C104" s="5">
        <v>8437.0</v>
      </c>
      <c r="D104" s="8" t="str">
        <f>+33.238872°</f>
        <v>#ERROR!</v>
      </c>
      <c r="E104" s="7" t="s">
        <v>254</v>
      </c>
    </row>
    <row r="105">
      <c r="A105" s="3" t="s">
        <v>242</v>
      </c>
      <c r="B105" s="4" t="s">
        <v>255</v>
      </c>
      <c r="C105" s="5">
        <v>20489.0</v>
      </c>
      <c r="D105" s="8" t="str">
        <f>+33.727625°</f>
        <v>#ERROR!</v>
      </c>
      <c r="E105" s="7" t="s">
        <v>256</v>
      </c>
    </row>
    <row r="106">
      <c r="A106" s="3" t="s">
        <v>242</v>
      </c>
      <c r="B106" s="4" t="s">
        <v>257</v>
      </c>
      <c r="C106" s="5">
        <v>3817117.0</v>
      </c>
      <c r="D106" s="8" t="str">
        <f>+33.346541°</f>
        <v>#ERROR!</v>
      </c>
      <c r="E106" s="7" t="s">
        <v>258</v>
      </c>
    </row>
    <row r="107">
      <c r="A107" s="3" t="s">
        <v>242</v>
      </c>
      <c r="B107" s="4" t="s">
        <v>259</v>
      </c>
      <c r="C107" s="5">
        <v>200186.0</v>
      </c>
      <c r="D107" s="8" t="str">
        <f>+35.717705°</f>
        <v>#ERROR!</v>
      </c>
      <c r="E107" s="7" t="s">
        <v>260</v>
      </c>
    </row>
    <row r="108">
      <c r="A108" s="3" t="s">
        <v>242</v>
      </c>
      <c r="B108" s="4" t="s">
        <v>261</v>
      </c>
      <c r="C108" s="5">
        <v>107449.0</v>
      </c>
      <c r="D108" s="8" t="str">
        <f>+35.390934°</f>
        <v>#ERROR!</v>
      </c>
      <c r="E108" s="7" t="s">
        <v>262</v>
      </c>
    </row>
    <row r="109">
      <c r="A109" s="3" t="s">
        <v>242</v>
      </c>
      <c r="B109" s="4" t="s">
        <v>263</v>
      </c>
      <c r="C109" s="5">
        <v>980263.0</v>
      </c>
      <c r="D109" s="8" t="str">
        <f>+32.128237°</f>
        <v>#ERROR!</v>
      </c>
      <c r="E109" s="7" t="s">
        <v>264</v>
      </c>
    </row>
    <row r="110">
      <c r="A110" s="3" t="s">
        <v>242</v>
      </c>
      <c r="B110" s="4" t="s">
        <v>265</v>
      </c>
      <c r="C110" s="5">
        <v>375770.0</v>
      </c>
      <c r="D110" s="8" t="str">
        <f>+32.918910°</f>
        <v>#ERROR!</v>
      </c>
      <c r="E110" s="7" t="s">
        <v>266</v>
      </c>
    </row>
    <row r="111">
      <c r="A111" s="3" t="s">
        <v>242</v>
      </c>
      <c r="B111" s="4" t="s">
        <v>267</v>
      </c>
      <c r="C111" s="5">
        <v>47420.0</v>
      </c>
      <c r="D111" s="8" t="str">
        <f>+31.525904°</f>
        <v>#ERROR!</v>
      </c>
      <c r="E111" s="7" t="s">
        <v>268</v>
      </c>
    </row>
    <row r="112">
      <c r="A112" s="3" t="s">
        <v>242</v>
      </c>
      <c r="B112" s="4" t="s">
        <v>269</v>
      </c>
      <c r="C112" s="5">
        <v>211033.0</v>
      </c>
      <c r="D112" s="8" t="str">
        <f>+34.630044°</f>
        <v>#ERROR!</v>
      </c>
      <c r="E112" s="7" t="s">
        <v>270</v>
      </c>
    </row>
    <row r="113">
      <c r="A113" s="3" t="s">
        <v>242</v>
      </c>
      <c r="B113" s="4" t="s">
        <v>271</v>
      </c>
      <c r="C113" s="5">
        <v>195751.0</v>
      </c>
      <c r="D113" s="8" t="str">
        <f>+32.773942°</f>
        <v>#ERROR!</v>
      </c>
      <c r="E113" s="7" t="s">
        <v>272</v>
      </c>
    </row>
    <row r="114">
      <c r="A114" s="3" t="s">
        <v>273</v>
      </c>
      <c r="B114" s="4" t="s">
        <v>274</v>
      </c>
      <c r="C114" s="5">
        <v>19019.0</v>
      </c>
      <c r="D114" s="8" t="str">
        <f>+34.289574°</f>
        <v>#ERROR!</v>
      </c>
      <c r="E114" s="7" t="s">
        <v>275</v>
      </c>
    </row>
    <row r="115">
      <c r="A115" s="3" t="s">
        <v>273</v>
      </c>
      <c r="B115" s="4" t="s">
        <v>276</v>
      </c>
      <c r="C115" s="5">
        <v>21853.0</v>
      </c>
      <c r="D115" s="8" t="str">
        <f>+33.190835°</f>
        <v>#ERROR!</v>
      </c>
      <c r="E115" s="7" t="s">
        <v>277</v>
      </c>
    </row>
    <row r="116">
      <c r="A116" s="3" t="s">
        <v>273</v>
      </c>
      <c r="B116" s="4" t="s">
        <v>278</v>
      </c>
      <c r="C116" s="5">
        <v>41513.0</v>
      </c>
      <c r="D116" s="8" t="str">
        <f>+36.280710°</f>
        <v>#ERROR!</v>
      </c>
      <c r="E116" s="7" t="s">
        <v>279</v>
      </c>
    </row>
    <row r="117">
      <c r="A117" s="3" t="s">
        <v>273</v>
      </c>
      <c r="B117" s="4" t="s">
        <v>280</v>
      </c>
      <c r="C117" s="5">
        <v>221339.0</v>
      </c>
      <c r="D117" s="8" t="str">
        <f>+36.337825°</f>
        <v>#ERROR!</v>
      </c>
      <c r="E117" s="7" t="s">
        <v>281</v>
      </c>
    </row>
    <row r="118">
      <c r="A118" s="3" t="s">
        <v>273</v>
      </c>
      <c r="B118" s="4" t="s">
        <v>282</v>
      </c>
      <c r="C118" s="5">
        <v>36903.0</v>
      </c>
      <c r="D118" s="8" t="str">
        <f>+36.304308°</f>
        <v>#ERROR!</v>
      </c>
      <c r="E118" s="7" t="s">
        <v>283</v>
      </c>
    </row>
    <row r="119">
      <c r="A119" s="3" t="s">
        <v>273</v>
      </c>
      <c r="B119" s="4" t="s">
        <v>284</v>
      </c>
      <c r="C119" s="5">
        <v>11508.0</v>
      </c>
      <c r="D119" s="8" t="str">
        <f>+33.463819°</f>
        <v>#ERROR!</v>
      </c>
      <c r="E119" s="7" t="s">
        <v>285</v>
      </c>
    </row>
    <row r="120">
      <c r="A120" s="3" t="s">
        <v>273</v>
      </c>
      <c r="B120" s="4" t="s">
        <v>27</v>
      </c>
      <c r="C120" s="5">
        <v>5368.0</v>
      </c>
      <c r="D120" s="8" t="str">
        <f>+33.560460°</f>
        <v>#ERROR!</v>
      </c>
      <c r="E120" s="7" t="s">
        <v>286</v>
      </c>
    </row>
    <row r="121">
      <c r="A121" s="3" t="s">
        <v>273</v>
      </c>
      <c r="B121" s="4" t="s">
        <v>287</v>
      </c>
      <c r="C121" s="5">
        <v>27446.0</v>
      </c>
      <c r="D121" s="8" t="str">
        <f>+36.337774°</f>
        <v>#ERROR!</v>
      </c>
      <c r="E121" s="7" t="s">
        <v>288</v>
      </c>
    </row>
    <row r="122">
      <c r="A122" s="3" t="s">
        <v>273</v>
      </c>
      <c r="B122" s="4" t="s">
        <v>289</v>
      </c>
      <c r="C122" s="5">
        <v>11800.0</v>
      </c>
      <c r="D122" s="8" t="str">
        <f>+33.267139°</f>
        <v>#ERROR!</v>
      </c>
      <c r="E122" s="7" t="s">
        <v>290</v>
      </c>
    </row>
    <row r="123">
      <c r="A123" s="3" t="s">
        <v>273</v>
      </c>
      <c r="B123" s="4" t="s">
        <v>291</v>
      </c>
      <c r="C123" s="5">
        <v>22995.0</v>
      </c>
      <c r="D123" s="8" t="str">
        <f>+34.053312°</f>
        <v>#ERROR!</v>
      </c>
      <c r="E123" s="7" t="s">
        <v>292</v>
      </c>
    </row>
    <row r="124">
      <c r="A124" s="3" t="s">
        <v>273</v>
      </c>
      <c r="B124" s="4" t="s">
        <v>42</v>
      </c>
      <c r="C124" s="5">
        <v>16083.0</v>
      </c>
      <c r="D124" s="8" t="str">
        <f>+36.367302°</f>
        <v>#ERROR!</v>
      </c>
      <c r="E124" s="7" t="s">
        <v>293</v>
      </c>
    </row>
    <row r="125">
      <c r="A125" s="3" t="s">
        <v>273</v>
      </c>
      <c r="B125" s="4" t="s">
        <v>45</v>
      </c>
      <c r="C125" s="5">
        <v>25970.0</v>
      </c>
      <c r="D125" s="8" t="str">
        <f>+35.566288°</f>
        <v>#ERROR!</v>
      </c>
      <c r="E125" s="7" t="s">
        <v>294</v>
      </c>
    </row>
    <row r="126">
      <c r="A126" s="3" t="s">
        <v>273</v>
      </c>
      <c r="B126" s="4" t="s">
        <v>295</v>
      </c>
      <c r="C126" s="5">
        <v>8689.0</v>
      </c>
      <c r="D126" s="8" t="str">
        <f>+33.893201°</f>
        <v>#ERROR!</v>
      </c>
      <c r="E126" s="7" t="s">
        <v>296</v>
      </c>
    </row>
    <row r="127">
      <c r="A127" s="3" t="s">
        <v>273</v>
      </c>
      <c r="B127" s="4" t="s">
        <v>297</v>
      </c>
      <c r="C127" s="5">
        <v>24552.0</v>
      </c>
      <c r="D127" s="8" t="str">
        <f>+33.215070°</f>
        <v>#ERROR!</v>
      </c>
      <c r="E127" s="7" t="s">
        <v>298</v>
      </c>
    </row>
    <row r="128">
      <c r="A128" s="3" t="s">
        <v>273</v>
      </c>
      <c r="B128" s="4" t="s">
        <v>299</v>
      </c>
      <c r="C128" s="5">
        <v>21273.0</v>
      </c>
      <c r="D128" s="8" t="str">
        <f>+35.265702°</f>
        <v>#ERROR!</v>
      </c>
      <c r="E128" s="7" t="s">
        <v>300</v>
      </c>
    </row>
    <row r="129">
      <c r="A129" s="3" t="s">
        <v>273</v>
      </c>
      <c r="B129" s="4" t="s">
        <v>301</v>
      </c>
      <c r="C129" s="5">
        <v>96443.0</v>
      </c>
      <c r="D129" s="8" t="str">
        <f>+35.828268°</f>
        <v>#ERROR!</v>
      </c>
      <c r="E129" s="7" t="s">
        <v>302</v>
      </c>
    </row>
    <row r="130">
      <c r="A130" s="3" t="s">
        <v>273</v>
      </c>
      <c r="B130" s="4" t="s">
        <v>303</v>
      </c>
      <c r="C130" s="5">
        <v>61948.0</v>
      </c>
      <c r="D130" s="8" t="str">
        <f>+35.583041°</f>
        <v>#ERROR!</v>
      </c>
      <c r="E130" s="7" t="s">
        <v>304</v>
      </c>
    </row>
    <row r="131">
      <c r="A131" s="3" t="s">
        <v>273</v>
      </c>
      <c r="B131" s="4" t="s">
        <v>305</v>
      </c>
      <c r="C131" s="5">
        <v>50902.0</v>
      </c>
      <c r="D131" s="8" t="str">
        <f>+35.211878°</f>
        <v>#ERROR!</v>
      </c>
      <c r="E131" s="7" t="s">
        <v>306</v>
      </c>
    </row>
    <row r="132">
      <c r="A132" s="3" t="s">
        <v>273</v>
      </c>
      <c r="B132" s="4" t="s">
        <v>307</v>
      </c>
      <c r="C132" s="5">
        <v>17870.0</v>
      </c>
      <c r="D132" s="8" t="str">
        <f>+35.291259°</f>
        <v>#ERROR!</v>
      </c>
      <c r="E132" s="7" t="s">
        <v>308</v>
      </c>
    </row>
    <row r="133">
      <c r="A133" s="3" t="s">
        <v>273</v>
      </c>
      <c r="B133" s="4" t="s">
        <v>72</v>
      </c>
      <c r="C133" s="5">
        <v>8116.0</v>
      </c>
      <c r="D133" s="8" t="str">
        <f>+33.967823°</f>
        <v>#ERROR!</v>
      </c>
      <c r="E133" s="7" t="s">
        <v>309</v>
      </c>
    </row>
    <row r="134">
      <c r="A134" s="3" t="s">
        <v>273</v>
      </c>
      <c r="B134" s="4" t="s">
        <v>310</v>
      </c>
      <c r="C134" s="5">
        <v>13008.0</v>
      </c>
      <c r="D134" s="8" t="str">
        <f>+33.828748°</f>
        <v>#ERROR!</v>
      </c>
      <c r="E134" s="7" t="s">
        <v>311</v>
      </c>
    </row>
    <row r="135">
      <c r="A135" s="3" t="s">
        <v>273</v>
      </c>
      <c r="B135" s="4" t="s">
        <v>312</v>
      </c>
      <c r="C135" s="5">
        <v>18509.0</v>
      </c>
      <c r="D135" s="8" t="str">
        <f>+33.587242°</f>
        <v>#ERROR!</v>
      </c>
      <c r="E135" s="7" t="s">
        <v>313</v>
      </c>
    </row>
    <row r="136">
      <c r="A136" s="3" t="s">
        <v>273</v>
      </c>
      <c r="B136" s="4" t="s">
        <v>314</v>
      </c>
      <c r="C136" s="5">
        <v>113237.0</v>
      </c>
      <c r="D136" s="8" t="str">
        <f>+35.146356°</f>
        <v>#ERROR!</v>
      </c>
      <c r="E136" s="7" t="s">
        <v>315</v>
      </c>
    </row>
    <row r="137">
      <c r="A137" s="3" t="s">
        <v>273</v>
      </c>
      <c r="B137" s="4" t="s">
        <v>90</v>
      </c>
      <c r="C137" s="5">
        <v>18125.0</v>
      </c>
      <c r="D137" s="8" t="str">
        <f>+35.508573°</f>
        <v>#ERROR!</v>
      </c>
      <c r="E137" s="7" t="s">
        <v>316</v>
      </c>
    </row>
    <row r="138">
      <c r="A138" s="3" t="s">
        <v>273</v>
      </c>
      <c r="B138" s="4" t="s">
        <v>317</v>
      </c>
      <c r="C138" s="5">
        <v>12245.0</v>
      </c>
      <c r="D138" s="8" t="str">
        <f>+36.383443°</f>
        <v>#ERROR!</v>
      </c>
      <c r="E138" s="7" t="s">
        <v>318</v>
      </c>
    </row>
    <row r="139">
      <c r="A139" s="3" t="s">
        <v>273</v>
      </c>
      <c r="B139" s="4" t="s">
        <v>319</v>
      </c>
      <c r="C139" s="5">
        <v>96024.0</v>
      </c>
      <c r="D139" s="8" t="str">
        <f>+34.578861°</f>
        <v>#ERROR!</v>
      </c>
      <c r="E139" s="7" t="s">
        <v>320</v>
      </c>
    </row>
    <row r="140">
      <c r="A140" s="3" t="s">
        <v>273</v>
      </c>
      <c r="B140" s="4" t="s">
        <v>321</v>
      </c>
      <c r="C140" s="5">
        <v>17853.0</v>
      </c>
      <c r="D140" s="8" t="str">
        <f>+34.288063°</f>
        <v>#ERROR!</v>
      </c>
      <c r="E140" s="7" t="s">
        <v>322</v>
      </c>
    </row>
    <row r="141">
      <c r="A141" s="3" t="s">
        <v>273</v>
      </c>
      <c r="B141" s="4" t="s">
        <v>96</v>
      </c>
      <c r="C141" s="5">
        <v>42090.0</v>
      </c>
      <c r="D141" s="8" t="str">
        <f>+36.119922°</f>
        <v>#ERROR!</v>
      </c>
      <c r="E141" s="7" t="s">
        <v>323</v>
      </c>
    </row>
    <row r="142">
      <c r="A142" s="3" t="s">
        <v>273</v>
      </c>
      <c r="B142" s="4" t="s">
        <v>324</v>
      </c>
      <c r="C142" s="5">
        <v>22609.0</v>
      </c>
      <c r="D142" s="8" t="str">
        <f>+33.728611°</f>
        <v>#ERROR!</v>
      </c>
      <c r="E142" s="7" t="s">
        <v>325</v>
      </c>
    </row>
    <row r="143">
      <c r="A143" s="3" t="s">
        <v>273</v>
      </c>
      <c r="B143" s="4" t="s">
        <v>326</v>
      </c>
      <c r="C143" s="5">
        <v>32923.0</v>
      </c>
      <c r="D143" s="8" t="str">
        <f>+34.315177°</f>
        <v>#ERROR!</v>
      </c>
      <c r="E143" s="7" t="s">
        <v>327</v>
      </c>
    </row>
    <row r="144">
      <c r="A144" s="3" t="s">
        <v>273</v>
      </c>
      <c r="B144" s="4" t="s">
        <v>328</v>
      </c>
      <c r="C144" s="5">
        <v>13789.0</v>
      </c>
      <c r="D144" s="8" t="str">
        <f>+34.083179°</f>
        <v>#ERROR!</v>
      </c>
      <c r="E144" s="7" t="s">
        <v>329</v>
      </c>
    </row>
    <row r="145">
      <c r="A145" s="3" t="s">
        <v>273</v>
      </c>
      <c r="B145" s="4" t="s">
        <v>330</v>
      </c>
      <c r="C145" s="5">
        <v>36647.0</v>
      </c>
      <c r="D145" s="8" t="str">
        <f>+35.737499°</f>
        <v>#ERROR!</v>
      </c>
      <c r="E145" s="7" t="s">
        <v>331</v>
      </c>
    </row>
    <row r="146">
      <c r="A146" s="3" t="s">
        <v>273</v>
      </c>
      <c r="B146" s="4" t="s">
        <v>332</v>
      </c>
      <c r="C146" s="5">
        <v>13696.0</v>
      </c>
      <c r="D146" s="8" t="str">
        <f>+36.094879°</f>
        <v>#ERROR!</v>
      </c>
      <c r="E146" s="7" t="s">
        <v>333</v>
      </c>
    </row>
    <row r="147">
      <c r="A147" s="3" t="s">
        <v>273</v>
      </c>
      <c r="B147" s="4" t="s">
        <v>108</v>
      </c>
      <c r="C147" s="5">
        <v>17997.0</v>
      </c>
      <c r="D147" s="8" t="str">
        <f>+35.596605°</f>
        <v>#ERROR!</v>
      </c>
      <c r="E147" s="7" t="s">
        <v>334</v>
      </c>
    </row>
    <row r="148">
      <c r="A148" s="3" t="s">
        <v>273</v>
      </c>
      <c r="B148" s="4" t="s">
        <v>111</v>
      </c>
      <c r="C148" s="5">
        <v>77435.0</v>
      </c>
      <c r="D148" s="8" t="str">
        <f>+34.277696°</f>
        <v>#ERROR!</v>
      </c>
      <c r="E148" s="7" t="s">
        <v>335</v>
      </c>
    </row>
    <row r="149">
      <c r="A149" s="3" t="s">
        <v>273</v>
      </c>
      <c r="B149" s="4" t="s">
        <v>336</v>
      </c>
      <c r="C149" s="5">
        <v>25540.0</v>
      </c>
      <c r="D149" s="8" t="str">
        <f>+35.573359°</f>
        <v>#ERROR!</v>
      </c>
      <c r="E149" s="7" t="s">
        <v>337</v>
      </c>
    </row>
    <row r="150">
      <c r="A150" s="3" t="s">
        <v>273</v>
      </c>
      <c r="B150" s="4" t="s">
        <v>338</v>
      </c>
      <c r="C150" s="5">
        <v>7645.0</v>
      </c>
      <c r="D150" s="8" t="str">
        <f>+33.240660°</f>
        <v>#ERROR!</v>
      </c>
      <c r="E150" s="7" t="s">
        <v>339</v>
      </c>
    </row>
    <row r="151">
      <c r="A151" s="3" t="s">
        <v>273</v>
      </c>
      <c r="B151" s="4" t="s">
        <v>120</v>
      </c>
      <c r="C151" s="5">
        <v>17415.0</v>
      </c>
      <c r="D151" s="8" t="str">
        <f>+36.041098°</f>
        <v>#ERROR!</v>
      </c>
      <c r="E151" s="7" t="s">
        <v>340</v>
      </c>
    </row>
    <row r="152">
      <c r="A152" s="3" t="s">
        <v>273</v>
      </c>
      <c r="B152" s="4" t="s">
        <v>123</v>
      </c>
      <c r="C152" s="5">
        <v>10424.0</v>
      </c>
      <c r="D152" s="8" t="str">
        <f>+34.779750°</f>
        <v>#ERROR!</v>
      </c>
      <c r="E152" s="7" t="s">
        <v>341</v>
      </c>
    </row>
    <row r="153">
      <c r="A153" s="3" t="s">
        <v>273</v>
      </c>
      <c r="B153" s="4" t="s">
        <v>342</v>
      </c>
      <c r="C153" s="5">
        <v>14134.0</v>
      </c>
      <c r="D153" s="8" t="str">
        <f>+33.957665°</f>
        <v>#ERROR!</v>
      </c>
      <c r="E153" s="7" t="s">
        <v>343</v>
      </c>
    </row>
    <row r="154">
      <c r="A154" s="3" t="s">
        <v>273</v>
      </c>
      <c r="B154" s="4" t="s">
        <v>344</v>
      </c>
      <c r="C154" s="5">
        <v>13171.0</v>
      </c>
      <c r="D154" s="8" t="str">
        <f>+33.699497°</f>
        <v>#ERROR!</v>
      </c>
      <c r="E154" s="7" t="s">
        <v>345</v>
      </c>
    </row>
    <row r="155">
      <c r="A155" s="3" t="s">
        <v>273</v>
      </c>
      <c r="B155" s="4" t="s">
        <v>346</v>
      </c>
      <c r="C155" s="5">
        <v>22353.0</v>
      </c>
      <c r="D155" s="8" t="str">
        <f>+35.218550°</f>
        <v>#ERROR!</v>
      </c>
      <c r="E155" s="7" t="s">
        <v>347</v>
      </c>
    </row>
    <row r="156">
      <c r="A156" s="3" t="s">
        <v>273</v>
      </c>
      <c r="B156" s="4" t="s">
        <v>348</v>
      </c>
      <c r="C156" s="5">
        <v>68356.0</v>
      </c>
      <c r="D156" s="8" t="str">
        <f>+34.755114°</f>
        <v>#ERROR!</v>
      </c>
      <c r="E156" s="7" t="s">
        <v>349</v>
      </c>
    </row>
    <row r="157">
      <c r="A157" s="3" t="s">
        <v>273</v>
      </c>
      <c r="B157" s="4" t="s">
        <v>135</v>
      </c>
      <c r="C157" s="5">
        <v>15717.0</v>
      </c>
      <c r="D157" s="8" t="str">
        <f>+36.012545°</f>
        <v>#ERROR!</v>
      </c>
      <c r="E157" s="7" t="s">
        <v>350</v>
      </c>
    </row>
    <row r="158">
      <c r="A158" s="3" t="s">
        <v>273</v>
      </c>
      <c r="B158" s="4" t="s">
        <v>141</v>
      </c>
      <c r="C158" s="5">
        <v>16653.0</v>
      </c>
      <c r="D158" s="8" t="str">
        <f>+36.266656°</f>
        <v>#ERROR!</v>
      </c>
      <c r="E158" s="7" t="s">
        <v>351</v>
      </c>
    </row>
    <row r="159">
      <c r="A159" s="3" t="s">
        <v>273</v>
      </c>
      <c r="B159" s="4" t="s">
        <v>352</v>
      </c>
      <c r="C159" s="5">
        <v>43462.0</v>
      </c>
      <c r="D159" s="8" t="str">
        <f>+33.305505°</f>
        <v>#ERROR!</v>
      </c>
      <c r="E159" s="7" t="s">
        <v>353</v>
      </c>
    </row>
    <row r="160">
      <c r="A160" s="3" t="s">
        <v>273</v>
      </c>
      <c r="B160" s="4" t="s">
        <v>354</v>
      </c>
      <c r="C160" s="5">
        <v>46480.0</v>
      </c>
      <c r="D160" s="8" t="str">
        <f>+35.766943°</f>
        <v>#ERROR!</v>
      </c>
      <c r="E160" s="7" t="s">
        <v>355</v>
      </c>
    </row>
    <row r="161">
      <c r="A161" s="3" t="s">
        <v>273</v>
      </c>
      <c r="B161" s="4" t="s">
        <v>147</v>
      </c>
      <c r="C161" s="5">
        <v>8149.0</v>
      </c>
      <c r="D161" s="8" t="str">
        <f>+34.679513°</f>
        <v>#ERROR!</v>
      </c>
      <c r="E161" s="7" t="s">
        <v>356</v>
      </c>
    </row>
    <row r="162">
      <c r="A162" s="3" t="s">
        <v>273</v>
      </c>
      <c r="B162" s="4" t="s">
        <v>149</v>
      </c>
      <c r="C162" s="5">
        <v>9487.0</v>
      </c>
      <c r="D162" s="8" t="str">
        <f>+34.545652°</f>
        <v>#ERROR!</v>
      </c>
      <c r="E162" s="7" t="s">
        <v>357</v>
      </c>
    </row>
    <row r="163">
      <c r="A163" s="3" t="s">
        <v>273</v>
      </c>
      <c r="B163" s="4" t="s">
        <v>358</v>
      </c>
      <c r="C163" s="5">
        <v>8997.0</v>
      </c>
      <c r="D163" s="8" t="str">
        <f>+33.666699°</f>
        <v>#ERROR!</v>
      </c>
      <c r="E163" s="7" t="s">
        <v>359</v>
      </c>
    </row>
    <row r="164">
      <c r="A164" s="3" t="s">
        <v>273</v>
      </c>
      <c r="B164" s="4" t="s">
        <v>360</v>
      </c>
      <c r="C164" s="5">
        <v>8330.0</v>
      </c>
      <c r="D164" s="8" t="str">
        <f>+35.910063°</f>
        <v>#ERROR!</v>
      </c>
      <c r="E164" s="7" t="s">
        <v>361</v>
      </c>
    </row>
    <row r="165">
      <c r="A165" s="3" t="s">
        <v>273</v>
      </c>
      <c r="B165" s="4" t="s">
        <v>362</v>
      </c>
      <c r="C165" s="5">
        <v>26120.0</v>
      </c>
      <c r="D165" s="8" t="str">
        <f>+33.591158°</f>
        <v>#ERROR!</v>
      </c>
      <c r="E165" s="7" t="s">
        <v>363</v>
      </c>
    </row>
    <row r="166">
      <c r="A166" s="3" t="s">
        <v>273</v>
      </c>
      <c r="B166" s="4" t="s">
        <v>153</v>
      </c>
      <c r="C166" s="5">
        <v>10445.0</v>
      </c>
      <c r="D166" s="8" t="str">
        <f>+34.946363°</f>
        <v>#ERROR!</v>
      </c>
      <c r="E166" s="7" t="s">
        <v>364</v>
      </c>
    </row>
    <row r="167">
      <c r="A167" s="3" t="s">
        <v>273</v>
      </c>
      <c r="B167" s="4" t="s">
        <v>365</v>
      </c>
      <c r="C167" s="5">
        <v>21757.0</v>
      </c>
      <c r="D167" s="8" t="str">
        <f>+34.425842°</f>
        <v>#ERROR!</v>
      </c>
      <c r="E167" s="7" t="s">
        <v>366</v>
      </c>
    </row>
    <row r="168">
      <c r="A168" s="3" t="s">
        <v>273</v>
      </c>
      <c r="B168" s="4" t="s">
        <v>157</v>
      </c>
      <c r="C168" s="5">
        <v>11291.0</v>
      </c>
      <c r="D168" s="8" t="str">
        <f>+34.158191°</f>
        <v>#ERROR!</v>
      </c>
      <c r="E168" s="7" t="s">
        <v>367</v>
      </c>
    </row>
    <row r="169">
      <c r="A169" s="3" t="s">
        <v>273</v>
      </c>
      <c r="B169" s="4" t="s">
        <v>368</v>
      </c>
      <c r="C169" s="5">
        <v>24583.0</v>
      </c>
      <c r="D169" s="8" t="str">
        <f>+35.568981°</f>
        <v>#ERROR!</v>
      </c>
      <c r="E169" s="7" t="s">
        <v>369</v>
      </c>
    </row>
    <row r="170">
      <c r="A170" s="3" t="s">
        <v>273</v>
      </c>
      <c r="B170" s="4" t="s">
        <v>370</v>
      </c>
      <c r="C170" s="5">
        <v>20662.0</v>
      </c>
      <c r="D170" s="8" t="str">
        <f>+34.490915°</f>
        <v>#ERROR!</v>
      </c>
      <c r="E170" s="7" t="s">
        <v>371</v>
      </c>
    </row>
    <row r="171">
      <c r="A171" s="3" t="s">
        <v>273</v>
      </c>
      <c r="B171" s="4" t="s">
        <v>372</v>
      </c>
      <c r="C171" s="5">
        <v>61754.0</v>
      </c>
      <c r="D171" s="8" t="str">
        <f>+35.455297°</f>
        <v>#ERROR!</v>
      </c>
      <c r="E171" s="7" t="s">
        <v>373</v>
      </c>
    </row>
    <row r="172">
      <c r="A172" s="3" t="s">
        <v>273</v>
      </c>
      <c r="B172" s="4" t="s">
        <v>374</v>
      </c>
      <c r="C172" s="5">
        <v>8715.0</v>
      </c>
      <c r="D172" s="8" t="str">
        <f>+34.828225°</f>
        <v>#ERROR!</v>
      </c>
      <c r="E172" s="7" t="s">
        <v>375</v>
      </c>
    </row>
    <row r="173">
      <c r="A173" s="3" t="s">
        <v>273</v>
      </c>
      <c r="B173" s="4" t="s">
        <v>376</v>
      </c>
      <c r="C173" s="5">
        <v>382748.0</v>
      </c>
      <c r="D173" s="8" t="str">
        <f>+34.773988°</f>
        <v>#ERROR!</v>
      </c>
      <c r="E173" s="7" t="s">
        <v>377</v>
      </c>
    </row>
    <row r="174">
      <c r="A174" s="3" t="s">
        <v>273</v>
      </c>
      <c r="B174" s="4" t="s">
        <v>159</v>
      </c>
      <c r="C174" s="5">
        <v>17969.0</v>
      </c>
      <c r="D174" s="8" t="str">
        <f>+36.341299°</f>
        <v>#ERROR!</v>
      </c>
      <c r="E174" s="7" t="s">
        <v>378</v>
      </c>
    </row>
    <row r="175">
      <c r="A175" s="3" t="s">
        <v>273</v>
      </c>
      <c r="B175" s="4" t="s">
        <v>379</v>
      </c>
      <c r="C175" s="5">
        <v>28258.0</v>
      </c>
      <c r="D175" s="8" t="str">
        <f>+35.014438°</f>
        <v>#ERROR!</v>
      </c>
      <c r="E175" s="7" t="s">
        <v>380</v>
      </c>
    </row>
    <row r="176">
      <c r="A176" s="3" t="s">
        <v>273</v>
      </c>
      <c r="B176" s="4" t="s">
        <v>381</v>
      </c>
      <c r="C176" s="5">
        <v>107118.0</v>
      </c>
      <c r="D176" s="8" t="str">
        <f>+34.648525°</f>
        <v>#ERROR!</v>
      </c>
      <c r="E176" s="7" t="s">
        <v>382</v>
      </c>
    </row>
    <row r="177">
      <c r="A177" s="3" t="s">
        <v>273</v>
      </c>
      <c r="B177" s="4" t="s">
        <v>383</v>
      </c>
      <c r="C177" s="5">
        <v>11233.0</v>
      </c>
      <c r="D177" s="8" t="str">
        <f>+34.858869°</f>
        <v>#ERROR!</v>
      </c>
      <c r="E177" s="7" t="s">
        <v>384</v>
      </c>
    </row>
    <row r="178">
      <c r="A178" s="3" t="s">
        <v>273</v>
      </c>
      <c r="B178" s="4" t="s">
        <v>385</v>
      </c>
      <c r="C178" s="5">
        <v>8195.0</v>
      </c>
      <c r="D178" s="8" t="str">
        <f>+35.909660°</f>
        <v>#ERROR!</v>
      </c>
      <c r="E178" s="7" t="s">
        <v>386</v>
      </c>
    </row>
    <row r="179">
      <c r="A179" s="3" t="s">
        <v>273</v>
      </c>
      <c r="B179" s="4" t="s">
        <v>387</v>
      </c>
      <c r="C179" s="5">
        <v>125744.0</v>
      </c>
      <c r="D179" s="8" t="str">
        <f>+35.196981°</f>
        <v>#ERROR!</v>
      </c>
      <c r="E179" s="7" t="s">
        <v>388</v>
      </c>
    </row>
    <row r="180">
      <c r="A180" s="3" t="s">
        <v>273</v>
      </c>
      <c r="B180" s="4" t="s">
        <v>389</v>
      </c>
      <c r="C180" s="5">
        <v>17058.0</v>
      </c>
      <c r="D180" s="8" t="str">
        <f>+33.994608°</f>
        <v>#ERROR!</v>
      </c>
      <c r="E180" s="7" t="s">
        <v>390</v>
      </c>
    </row>
    <row r="181">
      <c r="A181" s="3" t="s">
        <v>273</v>
      </c>
      <c r="B181" s="4" t="s">
        <v>391</v>
      </c>
      <c r="C181" s="5">
        <v>17264.0</v>
      </c>
      <c r="D181" s="8" t="str">
        <f>+36.173399°</f>
        <v>#ERROR!</v>
      </c>
      <c r="E181" s="7" t="s">
        <v>392</v>
      </c>
    </row>
    <row r="182">
      <c r="A182" s="3" t="s">
        <v>273</v>
      </c>
      <c r="B182" s="4" t="s">
        <v>393</v>
      </c>
      <c r="C182" s="5">
        <v>12394.0</v>
      </c>
      <c r="D182" s="8" t="str">
        <f>+35.856989°</f>
        <v>#ERROR!</v>
      </c>
      <c r="E182" s="7" t="s">
        <v>394</v>
      </c>
    </row>
    <row r="183">
      <c r="A183" s="3" t="s">
        <v>273</v>
      </c>
      <c r="B183" s="4" t="s">
        <v>395</v>
      </c>
      <c r="C183" s="5">
        <v>41639.0</v>
      </c>
      <c r="D183" s="8" t="str">
        <f>+33.168219°</f>
        <v>#ERROR!</v>
      </c>
      <c r="E183" s="7" t="s">
        <v>396</v>
      </c>
    </row>
    <row r="184">
      <c r="A184" s="3" t="s">
        <v>273</v>
      </c>
      <c r="B184" s="4" t="s">
        <v>397</v>
      </c>
      <c r="C184" s="5">
        <v>17295.0</v>
      </c>
      <c r="D184" s="8" t="str">
        <f>+35.582959°</f>
        <v>#ERROR!</v>
      </c>
      <c r="E184" s="7" t="s">
        <v>398</v>
      </c>
    </row>
    <row r="185">
      <c r="A185" s="3" t="s">
        <v>273</v>
      </c>
      <c r="B185" s="4" t="s">
        <v>177</v>
      </c>
      <c r="C185" s="5">
        <v>203065.0</v>
      </c>
      <c r="D185" s="8" t="str">
        <f>+35.971209°</f>
        <v>#ERROR!</v>
      </c>
      <c r="E185" s="7" t="s">
        <v>399</v>
      </c>
    </row>
    <row r="186">
      <c r="A186" s="3" t="s">
        <v>273</v>
      </c>
      <c r="B186" s="4" t="s">
        <v>400</v>
      </c>
      <c r="C186" s="5">
        <v>77076.0</v>
      </c>
      <c r="D186" s="8" t="str">
        <f>+35.254722°</f>
        <v>#ERROR!</v>
      </c>
      <c r="E186" s="7" t="s">
        <v>401</v>
      </c>
    </row>
    <row r="187">
      <c r="A187" s="3" t="s">
        <v>273</v>
      </c>
      <c r="B187" s="4" t="s">
        <v>402</v>
      </c>
      <c r="C187" s="5">
        <v>7260.0</v>
      </c>
      <c r="D187" s="8" t="str">
        <f>+35.189071°</f>
        <v>#ERROR!</v>
      </c>
      <c r="E187" s="7" t="s">
        <v>403</v>
      </c>
    </row>
    <row r="188">
      <c r="A188" s="3" t="s">
        <v>273</v>
      </c>
      <c r="B188" s="4" t="s">
        <v>404</v>
      </c>
      <c r="C188" s="5">
        <v>22185.0</v>
      </c>
      <c r="D188" s="8" t="str">
        <f>+34.997713°</f>
        <v>#ERROR!</v>
      </c>
      <c r="E188" s="7" t="s">
        <v>405</v>
      </c>
    </row>
    <row r="189">
      <c r="A189" s="3" t="s">
        <v>406</v>
      </c>
      <c r="B189" s="4" t="s">
        <v>407</v>
      </c>
      <c r="C189" s="5">
        <v>1510271.0</v>
      </c>
      <c r="D189" s="8" t="str">
        <f>+37.648081°</f>
        <v>#ERROR!</v>
      </c>
      <c r="E189" s="7" t="s">
        <v>408</v>
      </c>
    </row>
    <row r="190">
      <c r="A190" s="3" t="s">
        <v>406</v>
      </c>
      <c r="B190" s="4" t="s">
        <v>409</v>
      </c>
      <c r="C190" s="5">
        <v>1175.0</v>
      </c>
      <c r="D190" s="8" t="str">
        <f>+38.617610°</f>
        <v>#ERROR!</v>
      </c>
      <c r="E190" s="7" t="s">
        <v>410</v>
      </c>
    </row>
    <row r="191">
      <c r="A191" s="3" t="s">
        <v>406</v>
      </c>
      <c r="B191" s="4" t="s">
        <v>411</v>
      </c>
      <c r="C191" s="5">
        <v>38091.0</v>
      </c>
      <c r="D191" s="8" t="str">
        <f>+38.443550°</f>
        <v>#ERROR!</v>
      </c>
      <c r="E191" s="7" t="s">
        <v>412</v>
      </c>
    </row>
    <row r="192">
      <c r="A192" s="3" t="s">
        <v>406</v>
      </c>
      <c r="B192" s="4" t="s">
        <v>413</v>
      </c>
      <c r="C192" s="5">
        <v>220000.0</v>
      </c>
      <c r="D192" s="8" t="str">
        <f>+39.665959°</f>
        <v>#ERROR!</v>
      </c>
      <c r="E192" s="7" t="s">
        <v>414</v>
      </c>
    </row>
    <row r="193">
      <c r="A193" s="3" t="s">
        <v>406</v>
      </c>
      <c r="B193" s="4" t="s">
        <v>415</v>
      </c>
      <c r="C193" s="5">
        <v>45578.0</v>
      </c>
      <c r="D193" s="8" t="str">
        <f>+38.187844°</f>
        <v>#ERROR!</v>
      </c>
      <c r="E193" s="7" t="s">
        <v>416</v>
      </c>
    </row>
    <row r="194">
      <c r="A194" s="3" t="s">
        <v>406</v>
      </c>
      <c r="B194" s="4" t="s">
        <v>417</v>
      </c>
      <c r="C194" s="5">
        <v>21419.0</v>
      </c>
      <c r="D194" s="8" t="str">
        <f>+39.177739°</f>
        <v>#ERROR!</v>
      </c>
      <c r="E194" s="7" t="s">
        <v>418</v>
      </c>
    </row>
    <row r="195">
      <c r="A195" s="3" t="s">
        <v>406</v>
      </c>
      <c r="B195" s="4" t="s">
        <v>419</v>
      </c>
      <c r="C195" s="5">
        <v>1049025.0</v>
      </c>
      <c r="D195" s="8" t="str">
        <f>+37.919479°</f>
        <v>#ERROR!</v>
      </c>
      <c r="E195" s="7" t="s">
        <v>420</v>
      </c>
    </row>
    <row r="196">
      <c r="A196" s="3" t="s">
        <v>406</v>
      </c>
      <c r="B196" s="4" t="s">
        <v>421</v>
      </c>
      <c r="C196" s="5">
        <v>28610.0</v>
      </c>
      <c r="D196" s="8" t="str">
        <f>+41.749903°</f>
        <v>#ERROR!</v>
      </c>
      <c r="E196" s="7" t="s">
        <v>422</v>
      </c>
    </row>
    <row r="197">
      <c r="A197" s="3" t="s">
        <v>406</v>
      </c>
      <c r="B197" s="4" t="s">
        <v>423</v>
      </c>
      <c r="C197" s="5">
        <v>181058.0</v>
      </c>
      <c r="D197" s="8" t="str">
        <f>+38.785532°</f>
        <v>#ERROR!</v>
      </c>
      <c r="E197" s="7" t="s">
        <v>424</v>
      </c>
    </row>
    <row r="198">
      <c r="A198" s="3" t="s">
        <v>406</v>
      </c>
      <c r="B198" s="4" t="s">
        <v>425</v>
      </c>
      <c r="C198" s="5">
        <v>930450.0</v>
      </c>
      <c r="D198" s="8" t="str">
        <f>+36.761006°</f>
        <v>#ERROR!</v>
      </c>
      <c r="E198" s="7" t="s">
        <v>426</v>
      </c>
    </row>
    <row r="199">
      <c r="A199" s="3" t="s">
        <v>406</v>
      </c>
      <c r="B199" s="4" t="s">
        <v>427</v>
      </c>
      <c r="C199" s="5">
        <v>28122.0</v>
      </c>
      <c r="D199" s="8" t="str">
        <f>+39.602546°</f>
        <v>#ERROR!</v>
      </c>
      <c r="E199" s="7" t="s">
        <v>428</v>
      </c>
    </row>
    <row r="200">
      <c r="A200" s="3" t="s">
        <v>406</v>
      </c>
      <c r="B200" s="4" t="s">
        <v>429</v>
      </c>
      <c r="C200" s="5">
        <v>134623.0</v>
      </c>
      <c r="D200" s="8" t="str">
        <f>+40.706673°</f>
        <v>#ERROR!</v>
      </c>
      <c r="E200" s="7" t="s">
        <v>430</v>
      </c>
    </row>
    <row r="201">
      <c r="A201" s="3" t="s">
        <v>406</v>
      </c>
      <c r="B201" s="4" t="s">
        <v>431</v>
      </c>
      <c r="C201" s="5">
        <v>174528.0</v>
      </c>
      <c r="D201" s="8" t="str">
        <f>+33.040816°</f>
        <v>#ERROR!</v>
      </c>
      <c r="E201" s="7" t="s">
        <v>432</v>
      </c>
    </row>
    <row r="202">
      <c r="A202" s="3" t="s">
        <v>406</v>
      </c>
      <c r="B202" s="4" t="s">
        <v>433</v>
      </c>
      <c r="C202" s="5">
        <v>18546.0</v>
      </c>
      <c r="D202" s="8" t="str">
        <f>+36.561977°</f>
        <v>#ERROR!</v>
      </c>
      <c r="E202" s="7" t="s">
        <v>434</v>
      </c>
    </row>
    <row r="203">
      <c r="A203" s="3" t="s">
        <v>406</v>
      </c>
      <c r="B203" s="4" t="s">
        <v>435</v>
      </c>
      <c r="C203" s="5">
        <v>839631.0</v>
      </c>
      <c r="D203" s="8" t="str">
        <f>+35.346629°</f>
        <v>#ERROR!</v>
      </c>
      <c r="E203" s="7" t="s">
        <v>436</v>
      </c>
    </row>
    <row r="204">
      <c r="A204" s="3" t="s">
        <v>406</v>
      </c>
      <c r="B204" s="4" t="s">
        <v>437</v>
      </c>
      <c r="C204" s="5">
        <v>152982.0</v>
      </c>
      <c r="D204" s="8" t="str">
        <f>+36.072478°</f>
        <v>#ERROR!</v>
      </c>
      <c r="E204" s="7" t="s">
        <v>438</v>
      </c>
    </row>
    <row r="205">
      <c r="A205" s="3" t="s">
        <v>406</v>
      </c>
      <c r="B205" s="4" t="s">
        <v>439</v>
      </c>
      <c r="C205" s="5">
        <v>64665.0</v>
      </c>
      <c r="D205" s="8" t="str">
        <f>+39.094802°</f>
        <v>#ERROR!</v>
      </c>
      <c r="E205" s="7" t="s">
        <v>440</v>
      </c>
    </row>
    <row r="206">
      <c r="A206" s="3" t="s">
        <v>406</v>
      </c>
      <c r="B206" s="4" t="s">
        <v>441</v>
      </c>
      <c r="C206" s="5">
        <v>34895.0</v>
      </c>
      <c r="D206" s="8" t="str">
        <f>+40.721089°</f>
        <v>#ERROR!</v>
      </c>
      <c r="E206" s="7" t="s">
        <v>442</v>
      </c>
    </row>
    <row r="207">
      <c r="A207" s="3" t="s">
        <v>406</v>
      </c>
      <c r="B207" s="4" t="s">
        <v>443</v>
      </c>
      <c r="C207" s="5">
        <v>9818605.0</v>
      </c>
      <c r="D207" s="8" t="str">
        <f>+34.196398°</f>
        <v>#ERROR!</v>
      </c>
      <c r="E207" s="7" t="s">
        <v>444</v>
      </c>
    </row>
    <row r="208">
      <c r="A208" s="3" t="s">
        <v>406</v>
      </c>
      <c r="B208" s="4" t="s">
        <v>445</v>
      </c>
      <c r="C208" s="5">
        <v>150865.0</v>
      </c>
      <c r="D208" s="8" t="str">
        <f>+37.210039°</f>
        <v>#ERROR!</v>
      </c>
      <c r="E208" s="7" t="s">
        <v>446</v>
      </c>
    </row>
    <row r="209">
      <c r="A209" s="3" t="s">
        <v>406</v>
      </c>
      <c r="B209" s="4" t="s">
        <v>447</v>
      </c>
      <c r="C209" s="5">
        <v>252409.0</v>
      </c>
      <c r="D209" s="8" t="str">
        <f>+38.051817°</f>
        <v>#ERROR!</v>
      </c>
      <c r="E209" s="7" t="s">
        <v>448</v>
      </c>
    </row>
    <row r="210">
      <c r="A210" s="3" t="s">
        <v>406</v>
      </c>
      <c r="B210" s="4" t="s">
        <v>449</v>
      </c>
      <c r="C210" s="5">
        <v>18251.0</v>
      </c>
      <c r="D210" s="8" t="str">
        <f>+37.570034°</f>
        <v>#ERROR!</v>
      </c>
      <c r="E210" s="7" t="s">
        <v>450</v>
      </c>
    </row>
    <row r="211">
      <c r="A211" s="3" t="s">
        <v>406</v>
      </c>
      <c r="B211" s="4" t="s">
        <v>451</v>
      </c>
      <c r="C211" s="5">
        <v>87841.0</v>
      </c>
      <c r="D211" s="8" t="str">
        <f>+39.432388°</f>
        <v>#ERROR!</v>
      </c>
      <c r="E211" s="7" t="s">
        <v>452</v>
      </c>
    </row>
    <row r="212">
      <c r="A212" s="3" t="s">
        <v>406</v>
      </c>
      <c r="B212" s="4" t="s">
        <v>453</v>
      </c>
      <c r="C212" s="5">
        <v>255793.0</v>
      </c>
      <c r="D212" s="8" t="str">
        <f>+37.194806°</f>
        <v>#ERROR!</v>
      </c>
      <c r="E212" s="7" t="s">
        <v>454</v>
      </c>
    </row>
    <row r="213">
      <c r="A213" s="3" t="s">
        <v>406</v>
      </c>
      <c r="B213" s="4" t="s">
        <v>455</v>
      </c>
      <c r="C213" s="5">
        <v>9686.0</v>
      </c>
      <c r="D213" s="8" t="str">
        <f>+41.592919°</f>
        <v>#ERROR!</v>
      </c>
      <c r="E213" s="7" t="s">
        <v>456</v>
      </c>
    </row>
    <row r="214">
      <c r="A214" s="3" t="s">
        <v>406</v>
      </c>
      <c r="B214" s="4" t="s">
        <v>457</v>
      </c>
      <c r="C214" s="5">
        <v>14202.0</v>
      </c>
      <c r="D214" s="8" t="str">
        <f>+37.915836°</f>
        <v>#ERROR!</v>
      </c>
      <c r="E214" s="7" t="s">
        <v>458</v>
      </c>
    </row>
    <row r="215">
      <c r="A215" s="3" t="s">
        <v>406</v>
      </c>
      <c r="B215" s="4" t="s">
        <v>459</v>
      </c>
      <c r="C215" s="5">
        <v>415057.0</v>
      </c>
      <c r="D215" s="8" t="str">
        <f>+36.240107°</f>
        <v>#ERROR!</v>
      </c>
      <c r="E215" s="7" t="s">
        <v>460</v>
      </c>
    </row>
    <row r="216">
      <c r="A216" s="3" t="s">
        <v>406</v>
      </c>
      <c r="B216" s="4" t="s">
        <v>461</v>
      </c>
      <c r="C216" s="5">
        <v>136484.0</v>
      </c>
      <c r="D216" s="8" t="str">
        <f>+38.507351°</f>
        <v>#ERROR!</v>
      </c>
      <c r="E216" s="7" t="s">
        <v>462</v>
      </c>
    </row>
    <row r="217">
      <c r="A217" s="3" t="s">
        <v>406</v>
      </c>
      <c r="B217" s="4" t="s">
        <v>358</v>
      </c>
      <c r="C217" s="5">
        <v>98764.0</v>
      </c>
      <c r="D217" s="8" t="str">
        <f>+39.295191°</f>
        <v>#ERROR!</v>
      </c>
      <c r="E217" s="7" t="s">
        <v>463</v>
      </c>
    </row>
    <row r="218">
      <c r="A218" s="3" t="s">
        <v>406</v>
      </c>
      <c r="B218" s="4" t="s">
        <v>464</v>
      </c>
      <c r="C218" s="5">
        <v>3010232.0</v>
      </c>
      <c r="D218" s="8" t="str">
        <f>+33.675687°</f>
        <v>#ERROR!</v>
      </c>
      <c r="E218" s="7" t="s">
        <v>465</v>
      </c>
    </row>
    <row r="219">
      <c r="A219" s="3" t="s">
        <v>406</v>
      </c>
      <c r="B219" s="4" t="s">
        <v>466</v>
      </c>
      <c r="C219" s="5">
        <v>348432.0</v>
      </c>
      <c r="D219" s="8" t="str">
        <f>+39.062032°</f>
        <v>#ERROR!</v>
      </c>
      <c r="E219" s="7" t="s">
        <v>467</v>
      </c>
    </row>
    <row r="220">
      <c r="A220" s="3" t="s">
        <v>406</v>
      </c>
      <c r="B220" s="4" t="s">
        <v>468</v>
      </c>
      <c r="C220" s="5">
        <v>20007.0</v>
      </c>
      <c r="D220" s="8" t="str">
        <f>+39.995170°</f>
        <v>#ERROR!</v>
      </c>
      <c r="E220" s="7" t="s">
        <v>469</v>
      </c>
    </row>
    <row r="221">
      <c r="A221" s="3" t="s">
        <v>406</v>
      </c>
      <c r="B221" s="4" t="s">
        <v>470</v>
      </c>
      <c r="C221" s="5">
        <v>2189641.0</v>
      </c>
      <c r="D221" s="8" t="str">
        <f>+33.729828°</f>
        <v>#ERROR!</v>
      </c>
      <c r="E221" s="7" t="s">
        <v>471</v>
      </c>
    </row>
    <row r="222">
      <c r="A222" s="3" t="s">
        <v>406</v>
      </c>
      <c r="B222" s="4" t="s">
        <v>472</v>
      </c>
      <c r="C222" s="5">
        <v>1418788.0</v>
      </c>
      <c r="D222" s="8" t="str">
        <f>+38.450011°</f>
        <v>#ERROR!</v>
      </c>
      <c r="E222" s="7" t="s">
        <v>473</v>
      </c>
    </row>
    <row r="223">
      <c r="A223" s="3" t="s">
        <v>406</v>
      </c>
      <c r="B223" s="4" t="s">
        <v>474</v>
      </c>
      <c r="C223" s="5">
        <v>55269.0</v>
      </c>
      <c r="D223" s="8" t="str">
        <f>+36.610702°</f>
        <v>#ERROR!</v>
      </c>
      <c r="E223" s="7" t="s">
        <v>475</v>
      </c>
    </row>
    <row r="224">
      <c r="A224" s="3" t="s">
        <v>406</v>
      </c>
      <c r="B224" s="4" t="s">
        <v>476</v>
      </c>
      <c r="C224" s="5">
        <v>2035210.0</v>
      </c>
      <c r="D224" s="8" t="str">
        <f>+34.857220°</f>
        <v>#ERROR!</v>
      </c>
      <c r="E224" s="7" t="s">
        <v>477</v>
      </c>
    </row>
    <row r="225">
      <c r="A225" s="3" t="s">
        <v>406</v>
      </c>
      <c r="B225" s="4" t="s">
        <v>478</v>
      </c>
      <c r="C225" s="5">
        <v>3095313.0</v>
      </c>
      <c r="D225" s="8" t="str">
        <f>+33.023604°</f>
        <v>#ERROR!</v>
      </c>
      <c r="E225" s="7" t="s">
        <v>479</v>
      </c>
    </row>
    <row r="226">
      <c r="A226" s="3" t="s">
        <v>406</v>
      </c>
      <c r="B226" s="4" t="s">
        <v>480</v>
      </c>
      <c r="C226" s="5">
        <v>805235.0</v>
      </c>
      <c r="D226" s="8" t="str">
        <f>+37.727239°</f>
        <v>#ERROR!</v>
      </c>
      <c r="E226" s="7" t="s">
        <v>481</v>
      </c>
    </row>
    <row r="227">
      <c r="A227" s="3" t="s">
        <v>406</v>
      </c>
      <c r="B227" s="4" t="s">
        <v>482</v>
      </c>
      <c r="C227" s="5">
        <v>685306.0</v>
      </c>
      <c r="D227" s="8" t="str">
        <f>+37.935034°</f>
        <v>#ERROR!</v>
      </c>
      <c r="E227" s="7" t="s">
        <v>483</v>
      </c>
    </row>
    <row r="228">
      <c r="A228" s="3" t="s">
        <v>406</v>
      </c>
      <c r="B228" s="4" t="s">
        <v>484</v>
      </c>
      <c r="C228" s="5">
        <v>269637.0</v>
      </c>
      <c r="D228" s="8" t="str">
        <f>+35.385227°</f>
        <v>#ERROR!</v>
      </c>
      <c r="E228" s="7" t="s">
        <v>485</v>
      </c>
    </row>
    <row r="229">
      <c r="A229" s="3" t="s">
        <v>406</v>
      </c>
      <c r="B229" s="4" t="s">
        <v>486</v>
      </c>
      <c r="C229" s="5">
        <v>718451.0</v>
      </c>
      <c r="D229" s="8" t="str">
        <f>+37.414664°</f>
        <v>#ERROR!</v>
      </c>
      <c r="E229" s="7" t="s">
        <v>487</v>
      </c>
    </row>
    <row r="230">
      <c r="A230" s="3" t="s">
        <v>406</v>
      </c>
      <c r="B230" s="4" t="s">
        <v>488</v>
      </c>
      <c r="C230" s="5">
        <v>423895.0</v>
      </c>
      <c r="D230" s="8" t="str">
        <f>+34.537378°</f>
        <v>#ERROR!</v>
      </c>
      <c r="E230" s="7" t="s">
        <v>489</v>
      </c>
    </row>
    <row r="231">
      <c r="A231" s="3" t="s">
        <v>406</v>
      </c>
      <c r="B231" s="4" t="s">
        <v>490</v>
      </c>
      <c r="C231" s="5">
        <v>1781642.0</v>
      </c>
      <c r="D231" s="8" t="str">
        <f>+37.220777°</f>
        <v>#ERROR!</v>
      </c>
      <c r="E231" s="7" t="s">
        <v>491</v>
      </c>
    </row>
    <row r="232">
      <c r="A232" s="3" t="s">
        <v>406</v>
      </c>
      <c r="B232" s="4" t="s">
        <v>267</v>
      </c>
      <c r="C232" s="5">
        <v>262382.0</v>
      </c>
      <c r="D232" s="8" t="str">
        <f>+37.012488°</f>
        <v>#ERROR!</v>
      </c>
      <c r="E232" s="7" t="s">
        <v>492</v>
      </c>
    </row>
    <row r="233">
      <c r="A233" s="3" t="s">
        <v>406</v>
      </c>
      <c r="B233" s="4" t="s">
        <v>493</v>
      </c>
      <c r="C233" s="5">
        <v>177223.0</v>
      </c>
      <c r="D233" s="8" t="str">
        <f>+40.760522°</f>
        <v>#ERROR!</v>
      </c>
      <c r="E233" s="7" t="s">
        <v>494</v>
      </c>
    </row>
    <row r="234">
      <c r="A234" s="3" t="s">
        <v>406</v>
      </c>
      <c r="B234" s="4" t="s">
        <v>495</v>
      </c>
      <c r="C234" s="5">
        <v>3240.0</v>
      </c>
      <c r="D234" s="8" t="str">
        <f>+39.576925°</f>
        <v>#ERROR!</v>
      </c>
      <c r="E234" s="7" t="s">
        <v>496</v>
      </c>
    </row>
    <row r="235">
      <c r="A235" s="3" t="s">
        <v>406</v>
      </c>
      <c r="B235" s="4" t="s">
        <v>497</v>
      </c>
      <c r="C235" s="5">
        <v>44900.0</v>
      </c>
      <c r="D235" s="8" t="str">
        <f>+41.587986°</f>
        <v>#ERROR!</v>
      </c>
      <c r="E235" s="7" t="s">
        <v>498</v>
      </c>
    </row>
    <row r="236">
      <c r="A236" s="3" t="s">
        <v>406</v>
      </c>
      <c r="B236" s="4" t="s">
        <v>499</v>
      </c>
      <c r="C236" s="5">
        <v>413344.0</v>
      </c>
      <c r="D236" s="8" t="str">
        <f>+38.267226°</f>
        <v>#ERROR!</v>
      </c>
      <c r="E236" s="7" t="s">
        <v>500</v>
      </c>
    </row>
    <row r="237">
      <c r="A237" s="3" t="s">
        <v>406</v>
      </c>
      <c r="B237" s="4" t="s">
        <v>501</v>
      </c>
      <c r="C237" s="5">
        <v>483878.0</v>
      </c>
      <c r="D237" s="8" t="str">
        <f>+38.532574°</f>
        <v>#ERROR!</v>
      </c>
      <c r="E237" s="7" t="s">
        <v>502</v>
      </c>
    </row>
    <row r="238">
      <c r="A238" s="3" t="s">
        <v>406</v>
      </c>
      <c r="B238" s="4" t="s">
        <v>503</v>
      </c>
      <c r="C238" s="5">
        <v>514453.0</v>
      </c>
      <c r="D238" s="8" t="str">
        <f>+37.562384°</f>
        <v>#ERROR!</v>
      </c>
      <c r="E238" s="7" t="s">
        <v>504</v>
      </c>
    </row>
    <row r="239">
      <c r="A239" s="3" t="s">
        <v>406</v>
      </c>
      <c r="B239" s="4" t="s">
        <v>505</v>
      </c>
      <c r="C239" s="5">
        <v>94737.0</v>
      </c>
      <c r="D239" s="8" t="str">
        <f>+39.035257°</f>
        <v>#ERROR!</v>
      </c>
      <c r="E239" s="7" t="s">
        <v>506</v>
      </c>
    </row>
    <row r="240">
      <c r="A240" s="3" t="s">
        <v>406</v>
      </c>
      <c r="B240" s="4" t="s">
        <v>507</v>
      </c>
      <c r="C240" s="5">
        <v>63463.0</v>
      </c>
      <c r="D240" s="8" t="str">
        <f>+40.126156°</f>
        <v>#ERROR!</v>
      </c>
      <c r="E240" s="7" t="s">
        <v>508</v>
      </c>
    </row>
    <row r="241">
      <c r="A241" s="3" t="s">
        <v>406</v>
      </c>
      <c r="B241" s="4" t="s">
        <v>509</v>
      </c>
      <c r="C241" s="5">
        <v>13786.0</v>
      </c>
      <c r="D241" s="8" t="str">
        <f>+40.647724°</f>
        <v>#ERROR!</v>
      </c>
      <c r="E241" s="7" t="s">
        <v>510</v>
      </c>
    </row>
    <row r="242">
      <c r="A242" s="3" t="s">
        <v>406</v>
      </c>
      <c r="B242" s="4" t="s">
        <v>511</v>
      </c>
      <c r="C242" s="5">
        <v>442179.0</v>
      </c>
      <c r="D242" s="8" t="str">
        <f>+36.230453°</f>
        <v>#ERROR!</v>
      </c>
      <c r="E242" s="7" t="s">
        <v>512</v>
      </c>
    </row>
    <row r="243">
      <c r="A243" s="3" t="s">
        <v>406</v>
      </c>
      <c r="B243" s="4" t="s">
        <v>513</v>
      </c>
      <c r="C243" s="5">
        <v>55365.0</v>
      </c>
      <c r="D243" s="8" t="str">
        <f>+38.021451°</f>
        <v>#ERROR!</v>
      </c>
      <c r="E243" s="7" t="s">
        <v>514</v>
      </c>
    </row>
    <row r="244">
      <c r="A244" s="3" t="s">
        <v>406</v>
      </c>
      <c r="B244" s="4" t="s">
        <v>515</v>
      </c>
      <c r="C244" s="5">
        <v>823318.0</v>
      </c>
      <c r="D244" s="8" t="str">
        <f>+34.358742°</f>
        <v>#ERROR!</v>
      </c>
      <c r="E244" s="7" t="s">
        <v>516</v>
      </c>
    </row>
    <row r="245">
      <c r="A245" s="3" t="s">
        <v>406</v>
      </c>
      <c r="B245" s="4" t="s">
        <v>517</v>
      </c>
      <c r="C245" s="5">
        <v>200849.0</v>
      </c>
      <c r="D245" s="8" t="str">
        <f>+38.679268°</f>
        <v>#ERROR!</v>
      </c>
      <c r="E245" s="7" t="s">
        <v>518</v>
      </c>
    </row>
    <row r="246">
      <c r="A246" s="3" t="s">
        <v>406</v>
      </c>
      <c r="B246" s="4" t="s">
        <v>519</v>
      </c>
      <c r="C246" s="5">
        <v>72155.0</v>
      </c>
      <c r="D246" s="8" t="str">
        <f>+39.270026°</f>
        <v>#ERROR!</v>
      </c>
      <c r="E246" s="7" t="s">
        <v>520</v>
      </c>
    </row>
    <row r="247">
      <c r="A247" s="3" t="s">
        <v>521</v>
      </c>
      <c r="B247" s="4" t="s">
        <v>522</v>
      </c>
      <c r="C247" s="5">
        <v>441603.0</v>
      </c>
      <c r="D247" s="8" t="str">
        <f>+39.874325°</f>
        <v>#ERROR!</v>
      </c>
      <c r="E247" s="7" t="s">
        <v>523</v>
      </c>
    </row>
    <row r="248">
      <c r="A248" s="3" t="s">
        <v>521</v>
      </c>
      <c r="B248" s="4" t="s">
        <v>524</v>
      </c>
      <c r="C248" s="5">
        <v>15445.0</v>
      </c>
      <c r="D248" s="8" t="str">
        <f>+37.568442°</f>
        <v>#ERROR!</v>
      </c>
      <c r="E248" s="7" t="s">
        <v>525</v>
      </c>
    </row>
    <row r="249">
      <c r="A249" s="3" t="s">
        <v>521</v>
      </c>
      <c r="B249" s="4" t="s">
        <v>526</v>
      </c>
      <c r="C249" s="5">
        <v>572003.0</v>
      </c>
      <c r="D249" s="8" t="str">
        <f>+39.644632°</f>
        <v>#ERROR!</v>
      </c>
      <c r="E249" s="7" t="s">
        <v>527</v>
      </c>
    </row>
    <row r="250">
      <c r="A250" s="3" t="s">
        <v>521</v>
      </c>
      <c r="B250" s="4" t="s">
        <v>528</v>
      </c>
      <c r="C250" s="5">
        <v>12084.0</v>
      </c>
      <c r="D250" s="8" t="str">
        <f>+37.202395°</f>
        <v>#ERROR!</v>
      </c>
      <c r="E250" s="7" t="s">
        <v>529</v>
      </c>
    </row>
    <row r="251">
      <c r="A251" s="3" t="s">
        <v>521</v>
      </c>
      <c r="B251" s="4" t="s">
        <v>530</v>
      </c>
      <c r="C251" s="5">
        <v>3788.0</v>
      </c>
      <c r="D251" s="8" t="str">
        <f>+37.303144°</f>
        <v>#ERROR!</v>
      </c>
      <c r="E251" s="7" t="s">
        <v>531</v>
      </c>
    </row>
    <row r="252">
      <c r="A252" s="3" t="s">
        <v>521</v>
      </c>
      <c r="B252" s="4" t="s">
        <v>532</v>
      </c>
      <c r="C252" s="5">
        <v>6499.0</v>
      </c>
      <c r="D252" s="8" t="str">
        <f>+37.931891°</f>
        <v>#ERROR!</v>
      </c>
      <c r="E252" s="7" t="s">
        <v>533</v>
      </c>
    </row>
    <row r="253">
      <c r="A253" s="3" t="s">
        <v>521</v>
      </c>
      <c r="B253" s="4" t="s">
        <v>534</v>
      </c>
      <c r="C253" s="5">
        <v>294567.0</v>
      </c>
      <c r="D253" s="8" t="str">
        <f>+40.094826°</f>
        <v>#ERROR!</v>
      </c>
      <c r="E253" s="7" t="s">
        <v>535</v>
      </c>
    </row>
    <row r="254">
      <c r="A254" s="3" t="s">
        <v>521</v>
      </c>
      <c r="B254" s="4" t="s">
        <v>536</v>
      </c>
      <c r="C254" s="5">
        <v>55889.0</v>
      </c>
      <c r="D254" s="8" t="str">
        <f>+39.953383°</f>
        <v>#ERROR!</v>
      </c>
      <c r="E254" s="7" t="s">
        <v>537</v>
      </c>
    </row>
    <row r="255">
      <c r="A255" s="3" t="s">
        <v>521</v>
      </c>
      <c r="B255" s="4" t="s">
        <v>538</v>
      </c>
      <c r="C255" s="5">
        <v>17809.0</v>
      </c>
      <c r="D255" s="8" t="str">
        <f>+38.738246°</f>
        <v>#ERROR!</v>
      </c>
      <c r="E255" s="7" t="s">
        <v>539</v>
      </c>
    </row>
    <row r="256">
      <c r="A256" s="3" t="s">
        <v>521</v>
      </c>
      <c r="B256" s="4" t="s">
        <v>540</v>
      </c>
      <c r="C256" s="5">
        <v>1836.0</v>
      </c>
      <c r="D256" s="8" t="str">
        <f>+38.835387°</f>
        <v>#ERROR!</v>
      </c>
      <c r="E256" s="7" t="s">
        <v>541</v>
      </c>
    </row>
    <row r="257">
      <c r="A257" s="3" t="s">
        <v>521</v>
      </c>
      <c r="B257" s="4" t="s">
        <v>542</v>
      </c>
      <c r="C257" s="5">
        <v>9088.0</v>
      </c>
      <c r="D257" s="8" t="str">
        <f>+39.689403°</f>
        <v>#ERROR!</v>
      </c>
      <c r="E257" s="7" t="s">
        <v>543</v>
      </c>
    </row>
    <row r="258">
      <c r="A258" s="3" t="s">
        <v>521</v>
      </c>
      <c r="B258" s="4" t="s">
        <v>544</v>
      </c>
      <c r="C258" s="5">
        <v>8256.0</v>
      </c>
      <c r="D258" s="8" t="str">
        <f>+37.213407°</f>
        <v>#ERROR!</v>
      </c>
      <c r="E258" s="7" t="s">
        <v>545</v>
      </c>
    </row>
    <row r="259">
      <c r="A259" s="3" t="s">
        <v>521</v>
      </c>
      <c r="B259" s="4" t="s">
        <v>546</v>
      </c>
      <c r="C259" s="5">
        <v>3524.0</v>
      </c>
      <c r="D259" s="8" t="str">
        <f>+37.277547°</f>
        <v>#ERROR!</v>
      </c>
      <c r="E259" s="7" t="s">
        <v>547</v>
      </c>
    </row>
    <row r="260">
      <c r="A260" s="3" t="s">
        <v>521</v>
      </c>
      <c r="B260" s="4" t="s">
        <v>548</v>
      </c>
      <c r="C260" s="5">
        <v>5823.0</v>
      </c>
      <c r="D260" s="8" t="str">
        <f>+38.321956°</f>
        <v>#ERROR!</v>
      </c>
      <c r="E260" s="7" t="s">
        <v>549</v>
      </c>
    </row>
    <row r="261">
      <c r="A261" s="3" t="s">
        <v>521</v>
      </c>
      <c r="B261" s="4" t="s">
        <v>550</v>
      </c>
      <c r="C261" s="5">
        <v>4255.0</v>
      </c>
      <c r="D261" s="8" t="str">
        <f>+38.101994°</f>
        <v>#ERROR!</v>
      </c>
      <c r="E261" s="7" t="s">
        <v>551</v>
      </c>
    </row>
    <row r="262">
      <c r="A262" s="3" t="s">
        <v>521</v>
      </c>
      <c r="B262" s="4" t="s">
        <v>552</v>
      </c>
      <c r="C262" s="5">
        <v>30952.0</v>
      </c>
      <c r="D262" s="8" t="str">
        <f>+38.861756°</f>
        <v>#ERROR!</v>
      </c>
      <c r="E262" s="7" t="s">
        <v>553</v>
      </c>
    </row>
    <row r="263">
      <c r="A263" s="3" t="s">
        <v>521</v>
      </c>
      <c r="B263" s="4" t="s">
        <v>554</v>
      </c>
      <c r="C263" s="5">
        <v>600158.0</v>
      </c>
      <c r="D263" s="8" t="str">
        <f>+39.761849°</f>
        <v>#ERROR!</v>
      </c>
      <c r="E263" s="7" t="s">
        <v>555</v>
      </c>
    </row>
    <row r="264">
      <c r="A264" s="3" t="s">
        <v>521</v>
      </c>
      <c r="B264" s="4" t="s">
        <v>556</v>
      </c>
      <c r="C264" s="5">
        <v>2064.0</v>
      </c>
      <c r="D264" s="8" t="str">
        <f>+37.747602°</f>
        <v>#ERROR!</v>
      </c>
      <c r="E264" s="7" t="s">
        <v>557</v>
      </c>
    </row>
    <row r="265">
      <c r="A265" s="3" t="s">
        <v>521</v>
      </c>
      <c r="B265" s="4" t="s">
        <v>558</v>
      </c>
      <c r="C265" s="5">
        <v>285465.0</v>
      </c>
      <c r="D265" s="8" t="str">
        <f>+39.326435°</f>
        <v>#ERROR!</v>
      </c>
      <c r="E265" s="7" t="s">
        <v>559</v>
      </c>
    </row>
    <row r="266">
      <c r="A266" s="3" t="s">
        <v>521</v>
      </c>
      <c r="B266" s="4" t="s">
        <v>560</v>
      </c>
      <c r="C266" s="5">
        <v>52197.0</v>
      </c>
      <c r="D266" s="8" t="str">
        <f>+39.630638°</f>
        <v>#ERROR!</v>
      </c>
      <c r="E266" s="7" t="s">
        <v>561</v>
      </c>
    </row>
    <row r="267">
      <c r="A267" s="3" t="s">
        <v>521</v>
      </c>
      <c r="B267" s="4" t="s">
        <v>562</v>
      </c>
      <c r="C267" s="5">
        <v>23086.0</v>
      </c>
      <c r="D267" s="8" t="str">
        <f>+39.310817°</f>
        <v>#ERROR!</v>
      </c>
      <c r="E267" s="7" t="s">
        <v>563</v>
      </c>
    </row>
    <row r="268">
      <c r="A268" s="3" t="s">
        <v>521</v>
      </c>
      <c r="B268" s="4" t="s">
        <v>564</v>
      </c>
      <c r="C268" s="5">
        <v>622263.0</v>
      </c>
      <c r="D268" s="8" t="str">
        <f>+38.827383°</f>
        <v>#ERROR!</v>
      </c>
      <c r="E268" s="7" t="s">
        <v>565</v>
      </c>
    </row>
    <row r="269">
      <c r="A269" s="3" t="s">
        <v>521</v>
      </c>
      <c r="B269" s="4" t="s">
        <v>566</v>
      </c>
      <c r="C269" s="5">
        <v>46824.0</v>
      </c>
      <c r="D269" s="8" t="str">
        <f>+38.455658°</f>
        <v>#ERROR!</v>
      </c>
      <c r="E269" s="7" t="s">
        <v>567</v>
      </c>
    </row>
    <row r="270">
      <c r="A270" s="3" t="s">
        <v>521</v>
      </c>
      <c r="B270" s="4" t="s">
        <v>568</v>
      </c>
      <c r="C270" s="5">
        <v>56389.0</v>
      </c>
      <c r="D270" s="8" t="str">
        <f>+39.599352°</f>
        <v>#ERROR!</v>
      </c>
      <c r="E270" s="7" t="s">
        <v>569</v>
      </c>
    </row>
    <row r="271">
      <c r="A271" s="3" t="s">
        <v>521</v>
      </c>
      <c r="B271" s="4" t="s">
        <v>570</v>
      </c>
      <c r="C271" s="5">
        <v>5441.0</v>
      </c>
      <c r="D271" s="8" t="str">
        <f>+39.861082°</f>
        <v>#ERROR!</v>
      </c>
      <c r="E271" s="7" t="s">
        <v>571</v>
      </c>
    </row>
    <row r="272">
      <c r="A272" s="3" t="s">
        <v>521</v>
      </c>
      <c r="B272" s="4" t="s">
        <v>572</v>
      </c>
      <c r="C272" s="5">
        <v>14843.0</v>
      </c>
      <c r="D272" s="8" t="str">
        <f>+40.123289°</f>
        <v>#ERROR!</v>
      </c>
      <c r="E272" s="7" t="s">
        <v>573</v>
      </c>
    </row>
    <row r="273">
      <c r="A273" s="3" t="s">
        <v>521</v>
      </c>
      <c r="B273" s="4" t="s">
        <v>574</v>
      </c>
      <c r="C273" s="5">
        <v>15324.0</v>
      </c>
      <c r="D273" s="8" t="str">
        <f>+38.669679°</f>
        <v>#ERROR!</v>
      </c>
      <c r="E273" s="7" t="s">
        <v>575</v>
      </c>
    </row>
    <row r="274">
      <c r="A274" s="3" t="s">
        <v>521</v>
      </c>
      <c r="B274" s="4" t="s">
        <v>576</v>
      </c>
      <c r="C274" s="7">
        <v>843.0</v>
      </c>
      <c r="D274" s="8" t="str">
        <f>+37.811625°</f>
        <v>#ERROR!</v>
      </c>
      <c r="E274" s="7" t="s">
        <v>577</v>
      </c>
    </row>
    <row r="275">
      <c r="A275" s="3" t="s">
        <v>521</v>
      </c>
      <c r="B275" s="4" t="s">
        <v>578</v>
      </c>
      <c r="C275" s="5">
        <v>6711.0</v>
      </c>
      <c r="D275" s="8" t="str">
        <f>+37.687815°</f>
        <v>#ERROR!</v>
      </c>
      <c r="E275" s="7" t="s">
        <v>579</v>
      </c>
    </row>
    <row r="276">
      <c r="A276" s="3" t="s">
        <v>521</v>
      </c>
      <c r="B276" s="4" t="s">
        <v>108</v>
      </c>
      <c r="C276" s="5">
        <v>1394.0</v>
      </c>
      <c r="D276" s="8" t="str">
        <f>+40.663432°</f>
        <v>#ERROR!</v>
      </c>
      <c r="E276" s="7" t="s">
        <v>580</v>
      </c>
    </row>
    <row r="277">
      <c r="A277" s="3" t="s">
        <v>521</v>
      </c>
      <c r="B277" s="4" t="s">
        <v>111</v>
      </c>
      <c r="C277" s="5">
        <v>534543.0</v>
      </c>
      <c r="D277" s="8" t="str">
        <f>+39.586460°</f>
        <v>#ERROR!</v>
      </c>
      <c r="E277" s="7" t="s">
        <v>581</v>
      </c>
    </row>
    <row r="278">
      <c r="A278" s="3" t="s">
        <v>521</v>
      </c>
      <c r="B278" s="4" t="s">
        <v>582</v>
      </c>
      <c r="C278" s="5">
        <v>1398.0</v>
      </c>
      <c r="D278" s="8" t="str">
        <f>+38.388466°</f>
        <v>#ERROR!</v>
      </c>
      <c r="E278" s="7" t="s">
        <v>583</v>
      </c>
    </row>
    <row r="279">
      <c r="A279" s="3" t="s">
        <v>521</v>
      </c>
      <c r="B279" s="4" t="s">
        <v>584</v>
      </c>
      <c r="C279" s="5">
        <v>8270.0</v>
      </c>
      <c r="D279" s="8" t="str">
        <f>+39.305340°</f>
        <v>#ERROR!</v>
      </c>
      <c r="E279" s="7" t="s">
        <v>585</v>
      </c>
    </row>
    <row r="280">
      <c r="A280" s="3" t="s">
        <v>521</v>
      </c>
      <c r="B280" s="4" t="s">
        <v>439</v>
      </c>
      <c r="C280" s="5">
        <v>7310.0</v>
      </c>
      <c r="D280" s="8" t="str">
        <f>+39.204316°</f>
        <v>#ERROR!</v>
      </c>
      <c r="E280" s="7" t="s">
        <v>586</v>
      </c>
    </row>
    <row r="281">
      <c r="A281" s="3" t="s">
        <v>521</v>
      </c>
      <c r="B281" s="4" t="s">
        <v>587</v>
      </c>
      <c r="C281" s="5">
        <v>51334.0</v>
      </c>
      <c r="D281" s="8" t="str">
        <f>+37.287367°</f>
        <v>#ERROR!</v>
      </c>
      <c r="E281" s="7" t="s">
        <v>588</v>
      </c>
    </row>
    <row r="282">
      <c r="A282" s="3" t="s">
        <v>521</v>
      </c>
      <c r="B282" s="4" t="s">
        <v>589</v>
      </c>
      <c r="C282" s="5">
        <v>299630.0</v>
      </c>
      <c r="D282" s="8" t="str">
        <f>+40.663091°</f>
        <v>#ERROR!</v>
      </c>
      <c r="E282" s="7" t="s">
        <v>590</v>
      </c>
    </row>
    <row r="283">
      <c r="A283" s="3" t="s">
        <v>521</v>
      </c>
      <c r="B283" s="4" t="s">
        <v>591</v>
      </c>
      <c r="C283" s="5">
        <v>15507.0</v>
      </c>
      <c r="D283" s="8" t="str">
        <f>+37.318831°</f>
        <v>#ERROR!</v>
      </c>
      <c r="E283" s="7" t="s">
        <v>592</v>
      </c>
    </row>
    <row r="284">
      <c r="A284" s="3" t="s">
        <v>521</v>
      </c>
      <c r="B284" s="4" t="s">
        <v>342</v>
      </c>
      <c r="C284" s="5">
        <v>5467.0</v>
      </c>
      <c r="D284" s="8" t="str">
        <f>+38.993740°</f>
        <v>#ERROR!</v>
      </c>
      <c r="E284" s="7" t="s">
        <v>593</v>
      </c>
    </row>
    <row r="285">
      <c r="A285" s="3" t="s">
        <v>521</v>
      </c>
      <c r="B285" s="4" t="s">
        <v>346</v>
      </c>
      <c r="C285" s="5">
        <v>22709.0</v>
      </c>
      <c r="D285" s="8" t="str">
        <f>+40.728091°</f>
        <v>#ERROR!</v>
      </c>
      <c r="E285" s="7" t="s">
        <v>594</v>
      </c>
    </row>
    <row r="286">
      <c r="A286" s="3" t="s">
        <v>521</v>
      </c>
      <c r="B286" s="4" t="s">
        <v>595</v>
      </c>
      <c r="C286" s="5">
        <v>146723.0</v>
      </c>
      <c r="D286" s="8" t="str">
        <f>+39.019492°</f>
        <v>#ERROR!</v>
      </c>
      <c r="E286" s="7" t="s">
        <v>596</v>
      </c>
    </row>
    <row r="287">
      <c r="A287" s="3" t="s">
        <v>521</v>
      </c>
      <c r="B287" s="4" t="s">
        <v>597</v>
      </c>
      <c r="C287" s="7">
        <v>712.0</v>
      </c>
      <c r="D287" s="8" t="str">
        <f>+37.651478°</f>
        <v>#ERROR!</v>
      </c>
      <c r="E287" s="7" t="s">
        <v>598</v>
      </c>
    </row>
    <row r="288">
      <c r="A288" s="3" t="s">
        <v>521</v>
      </c>
      <c r="B288" s="4" t="s">
        <v>599</v>
      </c>
      <c r="C288" s="5">
        <v>13795.0</v>
      </c>
      <c r="D288" s="8" t="str">
        <f>+40.573984°</f>
        <v>#ERROR!</v>
      </c>
      <c r="E288" s="7" t="s">
        <v>600</v>
      </c>
    </row>
    <row r="289">
      <c r="A289" s="3" t="s">
        <v>521</v>
      </c>
      <c r="B289" s="4" t="s">
        <v>601</v>
      </c>
      <c r="C289" s="5">
        <v>25535.0</v>
      </c>
      <c r="D289" s="8" t="str">
        <f>+37.338025°</f>
        <v>#ERROR!</v>
      </c>
      <c r="E289" s="7" t="s">
        <v>602</v>
      </c>
    </row>
    <row r="290">
      <c r="A290" s="3" t="s">
        <v>521</v>
      </c>
      <c r="B290" s="4" t="s">
        <v>603</v>
      </c>
      <c r="C290" s="5">
        <v>41276.0</v>
      </c>
      <c r="D290" s="8" t="str">
        <f>+38.413427°</f>
        <v>#ERROR!</v>
      </c>
      <c r="E290" s="7" t="s">
        <v>604</v>
      </c>
    </row>
    <row r="291">
      <c r="A291" s="3" t="s">
        <v>521</v>
      </c>
      <c r="B291" s="4" t="s">
        <v>151</v>
      </c>
      <c r="C291" s="5">
        <v>28159.0</v>
      </c>
      <c r="D291" s="8" t="str">
        <f>+40.262354°</f>
        <v>#ERROR!</v>
      </c>
      <c r="E291" s="7" t="s">
        <v>605</v>
      </c>
    </row>
    <row r="292">
      <c r="A292" s="3" t="s">
        <v>521</v>
      </c>
      <c r="B292" s="4" t="s">
        <v>606</v>
      </c>
      <c r="C292" s="5">
        <v>18831.0</v>
      </c>
      <c r="D292" s="8" t="str">
        <f>+37.884170°</f>
        <v>#ERROR!</v>
      </c>
      <c r="E292" s="7" t="s">
        <v>607</v>
      </c>
    </row>
    <row r="293">
      <c r="A293" s="3" t="s">
        <v>521</v>
      </c>
      <c r="B293" s="4" t="s">
        <v>608</v>
      </c>
      <c r="C293" s="5">
        <v>4436.0</v>
      </c>
      <c r="D293" s="8" t="str">
        <f>+38.150600°</f>
        <v>#ERROR!</v>
      </c>
      <c r="E293" s="7" t="s">
        <v>609</v>
      </c>
    </row>
    <row r="294">
      <c r="A294" s="3" t="s">
        <v>521</v>
      </c>
      <c r="B294" s="4" t="s">
        <v>610</v>
      </c>
      <c r="C294" s="5">
        <v>16206.0</v>
      </c>
      <c r="D294" s="8" t="str">
        <f>+39.118914°</f>
        <v>#ERROR!</v>
      </c>
      <c r="E294" s="7" t="s">
        <v>611</v>
      </c>
    </row>
    <row r="295">
      <c r="A295" s="3" t="s">
        <v>521</v>
      </c>
      <c r="B295" s="4" t="s">
        <v>365</v>
      </c>
      <c r="C295" s="5">
        <v>4442.0</v>
      </c>
      <c r="D295" s="8" t="str">
        <f>+40.594712°</f>
        <v>#ERROR!</v>
      </c>
      <c r="E295" s="7" t="s">
        <v>612</v>
      </c>
    </row>
    <row r="296">
      <c r="A296" s="3" t="s">
        <v>521</v>
      </c>
      <c r="B296" s="4" t="s">
        <v>613</v>
      </c>
      <c r="C296" s="5">
        <v>17148.0</v>
      </c>
      <c r="D296" s="8" t="str">
        <f>+39.217533°</f>
        <v>#ERROR!</v>
      </c>
      <c r="E296" s="7" t="s">
        <v>614</v>
      </c>
    </row>
    <row r="297">
      <c r="A297" s="3" t="s">
        <v>521</v>
      </c>
      <c r="B297" s="4" t="s">
        <v>615</v>
      </c>
      <c r="C297" s="5">
        <v>12551.0</v>
      </c>
      <c r="D297" s="8" t="str">
        <f>+37.958181°</f>
        <v>#ERROR!</v>
      </c>
      <c r="E297" s="7" t="s">
        <v>616</v>
      </c>
    </row>
    <row r="298">
      <c r="A298" s="3" t="s">
        <v>521</v>
      </c>
      <c r="B298" s="4" t="s">
        <v>617</v>
      </c>
      <c r="C298" s="5">
        <v>159063.0</v>
      </c>
      <c r="D298" s="8" t="str">
        <f>+38.170658°</f>
        <v>#ERROR!</v>
      </c>
      <c r="E298" s="7" t="s">
        <v>618</v>
      </c>
    </row>
    <row r="299">
      <c r="A299" s="3" t="s">
        <v>521</v>
      </c>
      <c r="B299" s="4" t="s">
        <v>619</v>
      </c>
      <c r="C299" s="5">
        <v>6666.0</v>
      </c>
      <c r="D299" s="8" t="str">
        <f>+39.972606°</f>
        <v>#ERROR!</v>
      </c>
      <c r="E299" s="7" t="s">
        <v>620</v>
      </c>
    </row>
    <row r="300">
      <c r="A300" s="3" t="s">
        <v>521</v>
      </c>
      <c r="B300" s="4" t="s">
        <v>621</v>
      </c>
      <c r="C300" s="5">
        <v>11982.0</v>
      </c>
      <c r="D300" s="8" t="str">
        <f>+37.485763°</f>
        <v>#ERROR!</v>
      </c>
      <c r="E300" s="7" t="s">
        <v>622</v>
      </c>
    </row>
    <row r="301">
      <c r="A301" s="3" t="s">
        <v>521</v>
      </c>
      <c r="B301" s="4" t="s">
        <v>623</v>
      </c>
      <c r="C301" s="5">
        <v>23509.0</v>
      </c>
      <c r="D301" s="8" t="str">
        <f>+40.483160°</f>
        <v>#ERROR!</v>
      </c>
      <c r="E301" s="7" t="s">
        <v>624</v>
      </c>
    </row>
    <row r="302">
      <c r="A302" s="3" t="s">
        <v>521</v>
      </c>
      <c r="B302" s="4" t="s">
        <v>625</v>
      </c>
      <c r="C302" s="5">
        <v>6108.0</v>
      </c>
      <c r="D302" s="8" t="str">
        <f>+38.033952°</f>
        <v>#ERROR!</v>
      </c>
      <c r="E302" s="7" t="s">
        <v>626</v>
      </c>
    </row>
    <row r="303">
      <c r="A303" s="3" t="s">
        <v>521</v>
      </c>
      <c r="B303" s="4" t="s">
        <v>627</v>
      </c>
      <c r="C303" s="7">
        <v>699.0</v>
      </c>
      <c r="D303" s="8" t="str">
        <f>+37.781075°</f>
        <v>#ERROR!</v>
      </c>
      <c r="E303" s="7" t="s">
        <v>628</v>
      </c>
    </row>
    <row r="304">
      <c r="A304" s="3" t="s">
        <v>521</v>
      </c>
      <c r="B304" s="4" t="s">
        <v>629</v>
      </c>
      <c r="C304" s="5">
        <v>7359.0</v>
      </c>
      <c r="D304" s="8" t="str">
        <f>+38.009374°</f>
        <v>#ERROR!</v>
      </c>
      <c r="E304" s="7" t="s">
        <v>630</v>
      </c>
    </row>
    <row r="305">
      <c r="A305" s="3" t="s">
        <v>521</v>
      </c>
      <c r="B305" s="4" t="s">
        <v>631</v>
      </c>
      <c r="C305" s="5">
        <v>2379.0</v>
      </c>
      <c r="D305" s="8" t="str">
        <f>+40.871568°</f>
        <v>#ERROR!</v>
      </c>
      <c r="E305" s="7" t="s">
        <v>632</v>
      </c>
    </row>
    <row r="306">
      <c r="A306" s="3" t="s">
        <v>521</v>
      </c>
      <c r="B306" s="4" t="s">
        <v>633</v>
      </c>
      <c r="C306" s="5">
        <v>27994.0</v>
      </c>
      <c r="D306" s="8" t="str">
        <f>+39.621023°</f>
        <v>#ERROR!</v>
      </c>
      <c r="E306" s="7" t="s">
        <v>634</v>
      </c>
    </row>
    <row r="307">
      <c r="A307" s="3" t="s">
        <v>521</v>
      </c>
      <c r="B307" s="4" t="s">
        <v>635</v>
      </c>
      <c r="C307" s="5">
        <v>23350.0</v>
      </c>
      <c r="D307" s="8" t="str">
        <f>+38.871994°</f>
        <v>#ERROR!</v>
      </c>
      <c r="E307" s="7" t="s">
        <v>636</v>
      </c>
    </row>
    <row r="308">
      <c r="A308" s="3" t="s">
        <v>521</v>
      </c>
      <c r="B308" s="4" t="s">
        <v>177</v>
      </c>
      <c r="C308" s="5">
        <v>4814.0</v>
      </c>
      <c r="D308" s="8" t="str">
        <f>+39.965413°</f>
        <v>#ERROR!</v>
      </c>
      <c r="E308" s="7" t="s">
        <v>637</v>
      </c>
    </row>
    <row r="309">
      <c r="A309" s="3" t="s">
        <v>521</v>
      </c>
      <c r="B309" s="4" t="s">
        <v>638</v>
      </c>
      <c r="C309" s="5">
        <v>252825.0</v>
      </c>
      <c r="D309" s="8" t="str">
        <f>+40.555794°</f>
        <v>#ERROR!</v>
      </c>
      <c r="E309" s="7" t="s">
        <v>639</v>
      </c>
    </row>
    <row r="310">
      <c r="A310" s="3" t="s">
        <v>521</v>
      </c>
      <c r="B310" s="4" t="s">
        <v>271</v>
      </c>
      <c r="C310" s="5">
        <v>10043.0</v>
      </c>
      <c r="D310" s="8" t="str">
        <f>+40.000631°</f>
        <v>#ERROR!</v>
      </c>
      <c r="E310" s="7" t="s">
        <v>640</v>
      </c>
    </row>
    <row r="311">
      <c r="A311" s="3" t="s">
        <v>641</v>
      </c>
      <c r="B311" s="4" t="s">
        <v>642</v>
      </c>
      <c r="C311" s="5">
        <v>916829.0</v>
      </c>
      <c r="D311" s="8" t="str">
        <f>+41.228103°</f>
        <v>#ERROR!</v>
      </c>
      <c r="E311" s="7" t="s">
        <v>643</v>
      </c>
    </row>
    <row r="312">
      <c r="A312" s="3" t="s">
        <v>641</v>
      </c>
      <c r="B312" s="4" t="s">
        <v>644</v>
      </c>
      <c r="C312" s="5">
        <v>894014.0</v>
      </c>
      <c r="D312" s="8" t="str">
        <f>+41.806053°</f>
        <v>#ERROR!</v>
      </c>
      <c r="E312" s="7" t="s">
        <v>645</v>
      </c>
    </row>
    <row r="313">
      <c r="A313" s="3" t="s">
        <v>641</v>
      </c>
      <c r="B313" s="4" t="s">
        <v>646</v>
      </c>
      <c r="C313" s="5">
        <v>189927.0</v>
      </c>
      <c r="D313" s="8" t="str">
        <f>+41.791897°</f>
        <v>#ERROR!</v>
      </c>
      <c r="E313" s="7" t="s">
        <v>647</v>
      </c>
    </row>
    <row r="314">
      <c r="A314" s="3" t="s">
        <v>641</v>
      </c>
      <c r="B314" s="4" t="s">
        <v>648</v>
      </c>
      <c r="C314" s="5">
        <v>165676.0</v>
      </c>
      <c r="D314" s="8" t="str">
        <f>+41.434525°</f>
        <v>#ERROR!</v>
      </c>
      <c r="E314" s="7" t="s">
        <v>649</v>
      </c>
    </row>
    <row r="315">
      <c r="A315" s="3" t="s">
        <v>641</v>
      </c>
      <c r="B315" s="4" t="s">
        <v>650</v>
      </c>
      <c r="C315" s="5">
        <v>862477.0</v>
      </c>
      <c r="D315" s="8" t="str">
        <f>+41.349717°</f>
        <v>#ERROR!</v>
      </c>
      <c r="E315" s="7" t="s">
        <v>651</v>
      </c>
    </row>
    <row r="316">
      <c r="A316" s="3" t="s">
        <v>641</v>
      </c>
      <c r="B316" s="4" t="s">
        <v>652</v>
      </c>
      <c r="C316" s="5">
        <v>274055.0</v>
      </c>
      <c r="D316" s="8" t="str">
        <f>+41.478630°</f>
        <v>#ERROR!</v>
      </c>
      <c r="E316" s="7" t="s">
        <v>653</v>
      </c>
    </row>
    <row r="317">
      <c r="A317" s="3" t="s">
        <v>641</v>
      </c>
      <c r="B317" s="4" t="s">
        <v>654</v>
      </c>
      <c r="C317" s="5">
        <v>152691.0</v>
      </c>
      <c r="D317" s="8" t="str">
        <f>+41.858076°</f>
        <v>#ERROR!</v>
      </c>
      <c r="E317" s="7" t="s">
        <v>655</v>
      </c>
    </row>
    <row r="318">
      <c r="A318" s="3" t="s">
        <v>641</v>
      </c>
      <c r="B318" s="4" t="s">
        <v>656</v>
      </c>
      <c r="C318" s="5">
        <v>118428.0</v>
      </c>
      <c r="D318" s="8" t="str">
        <f>+41.824999°</f>
        <v>#ERROR!</v>
      </c>
      <c r="E318" s="7" t="s">
        <v>657</v>
      </c>
    </row>
    <row r="319">
      <c r="A319" s="3" t="s">
        <v>658</v>
      </c>
      <c r="B319" s="4" t="s">
        <v>659</v>
      </c>
      <c r="C319" s="5">
        <v>162310.0</v>
      </c>
      <c r="D319" s="8" t="str">
        <f>+39.097088°</f>
        <v>#ERROR!</v>
      </c>
      <c r="E319" s="7" t="s">
        <v>660</v>
      </c>
    </row>
    <row r="320">
      <c r="A320" s="3" t="s">
        <v>658</v>
      </c>
      <c r="B320" s="4" t="s">
        <v>661</v>
      </c>
      <c r="C320" s="5">
        <v>538479.0</v>
      </c>
      <c r="D320" s="8" t="str">
        <f>+39.575915°</f>
        <v>#ERROR!</v>
      </c>
      <c r="E320" s="7" t="s">
        <v>662</v>
      </c>
    </row>
    <row r="321">
      <c r="A321" s="3" t="s">
        <v>658</v>
      </c>
      <c r="B321" s="4" t="s">
        <v>663</v>
      </c>
      <c r="C321" s="5">
        <v>197145.0</v>
      </c>
      <c r="D321" s="8" t="str">
        <f>+38.677511°</f>
        <v>#ERROR!</v>
      </c>
      <c r="E321" s="7" t="s">
        <v>664</v>
      </c>
    </row>
    <row r="322">
      <c r="A322" s="3" t="s">
        <v>665</v>
      </c>
      <c r="B322" s="4" t="s">
        <v>666</v>
      </c>
      <c r="C322" s="5">
        <v>601723.0</v>
      </c>
      <c r="D322" s="8" t="str">
        <f>+38.904149°</f>
        <v>#ERROR!</v>
      </c>
      <c r="E322" s="7" t="s">
        <v>667</v>
      </c>
    </row>
    <row r="323">
      <c r="A323" s="3" t="s">
        <v>668</v>
      </c>
      <c r="B323" s="4" t="s">
        <v>669</v>
      </c>
      <c r="C323" s="5">
        <v>247336.0</v>
      </c>
      <c r="D323" s="8" t="str">
        <f>+29.675740°</f>
        <v>#ERROR!</v>
      </c>
      <c r="E323" s="7" t="s">
        <v>670</v>
      </c>
    </row>
    <row r="324">
      <c r="A324" s="3" t="s">
        <v>668</v>
      </c>
      <c r="B324" s="4" t="s">
        <v>671</v>
      </c>
      <c r="C324" s="5">
        <v>27115.0</v>
      </c>
      <c r="D324" s="8" t="str">
        <f>+30.324442°</f>
        <v>#ERROR!</v>
      </c>
      <c r="E324" s="7" t="s">
        <v>672</v>
      </c>
    </row>
    <row r="325">
      <c r="A325" s="3" t="s">
        <v>668</v>
      </c>
      <c r="B325" s="4" t="s">
        <v>673</v>
      </c>
      <c r="C325" s="5">
        <v>168852.0</v>
      </c>
      <c r="D325" s="8" t="str">
        <f>+30.237563°</f>
        <v>#ERROR!</v>
      </c>
      <c r="E325" s="7" t="s">
        <v>674</v>
      </c>
    </row>
    <row r="326">
      <c r="A326" s="3" t="s">
        <v>668</v>
      </c>
      <c r="B326" s="4" t="s">
        <v>675</v>
      </c>
      <c r="C326" s="5">
        <v>28520.0</v>
      </c>
      <c r="D326" s="8" t="str">
        <f>+29.946934°</f>
        <v>#ERROR!</v>
      </c>
      <c r="E326" s="7" t="s">
        <v>676</v>
      </c>
    </row>
    <row r="327">
      <c r="A327" s="3" t="s">
        <v>668</v>
      </c>
      <c r="B327" s="4" t="s">
        <v>677</v>
      </c>
      <c r="C327" s="5">
        <v>543376.0</v>
      </c>
      <c r="D327" s="8" t="str">
        <f>+28.298276°</f>
        <v>#ERROR!</v>
      </c>
      <c r="E327" s="7" t="s">
        <v>678</v>
      </c>
    </row>
    <row r="328">
      <c r="A328" s="3" t="s">
        <v>668</v>
      </c>
      <c r="B328" s="4" t="s">
        <v>679</v>
      </c>
      <c r="C328" s="5">
        <v>1748066.0</v>
      </c>
      <c r="D328" s="8" t="str">
        <f>+26.193520°</f>
        <v>#ERROR!</v>
      </c>
      <c r="E328" s="7" t="s">
        <v>680</v>
      </c>
    </row>
    <row r="329">
      <c r="A329" s="3" t="s">
        <v>668</v>
      </c>
      <c r="B329" s="4" t="s">
        <v>27</v>
      </c>
      <c r="C329" s="5">
        <v>14625.0</v>
      </c>
      <c r="D329" s="8" t="str">
        <f>+30.388801°</f>
        <v>#ERROR!</v>
      </c>
      <c r="E329" s="7" t="s">
        <v>681</v>
      </c>
    </row>
    <row r="330">
      <c r="A330" s="3" t="s">
        <v>668</v>
      </c>
      <c r="B330" s="4" t="s">
        <v>682</v>
      </c>
      <c r="C330" s="5">
        <v>159978.0</v>
      </c>
      <c r="D330" s="8" t="str">
        <f>+26.868826°</f>
        <v>#ERROR!</v>
      </c>
      <c r="E330" s="7" t="s">
        <v>683</v>
      </c>
    </row>
    <row r="331">
      <c r="A331" s="3" t="s">
        <v>668</v>
      </c>
      <c r="B331" s="4" t="s">
        <v>684</v>
      </c>
      <c r="C331" s="5">
        <v>141236.0</v>
      </c>
      <c r="D331" s="8" t="str">
        <f>+28.843628°</f>
        <v>#ERROR!</v>
      </c>
      <c r="E331" s="7" t="s">
        <v>685</v>
      </c>
    </row>
    <row r="332">
      <c r="A332" s="3" t="s">
        <v>668</v>
      </c>
      <c r="B332" s="4" t="s">
        <v>42</v>
      </c>
      <c r="C332" s="5">
        <v>190865.0</v>
      </c>
      <c r="D332" s="8" t="str">
        <f>+29.987116°</f>
        <v>#ERROR!</v>
      </c>
      <c r="E332" s="7" t="s">
        <v>686</v>
      </c>
    </row>
    <row r="333">
      <c r="A333" s="3" t="s">
        <v>668</v>
      </c>
      <c r="B333" s="4" t="s">
        <v>687</v>
      </c>
      <c r="C333" s="5">
        <v>321520.0</v>
      </c>
      <c r="D333" s="8" t="str">
        <f>+26.118713°</f>
        <v>#ERROR!</v>
      </c>
      <c r="E333" s="7" t="s">
        <v>688</v>
      </c>
    </row>
    <row r="334">
      <c r="A334" s="3" t="s">
        <v>668</v>
      </c>
      <c r="B334" s="4" t="s">
        <v>297</v>
      </c>
      <c r="C334" s="5">
        <v>67531.0</v>
      </c>
      <c r="D334" s="8" t="str">
        <f>+30.221305°</f>
        <v>#ERROR!</v>
      </c>
      <c r="E334" s="7" t="s">
        <v>689</v>
      </c>
    </row>
    <row r="335">
      <c r="A335" s="3" t="s">
        <v>668</v>
      </c>
      <c r="B335" s="4" t="s">
        <v>690</v>
      </c>
      <c r="C335" s="5">
        <v>34862.0</v>
      </c>
      <c r="D335" s="8" t="str">
        <f>+27.190581°</f>
        <v>#ERROR!</v>
      </c>
      <c r="E335" s="7" t="s">
        <v>691</v>
      </c>
    </row>
    <row r="336">
      <c r="A336" s="3" t="s">
        <v>668</v>
      </c>
      <c r="B336" s="4" t="s">
        <v>692</v>
      </c>
      <c r="C336" s="5">
        <v>16422.0</v>
      </c>
      <c r="D336" s="8" t="str">
        <f>+29.580899°</f>
        <v>#ERROR!</v>
      </c>
      <c r="E336" s="7" t="s">
        <v>693</v>
      </c>
    </row>
    <row r="337">
      <c r="A337" s="3" t="s">
        <v>668</v>
      </c>
      <c r="B337" s="4" t="s">
        <v>694</v>
      </c>
      <c r="C337" s="5">
        <v>864263.0</v>
      </c>
      <c r="D337" s="8" t="str">
        <f>+30.335245°</f>
        <v>#ERROR!</v>
      </c>
      <c r="E337" s="7" t="s">
        <v>695</v>
      </c>
    </row>
    <row r="338">
      <c r="A338" s="3" t="s">
        <v>668</v>
      </c>
      <c r="B338" s="4" t="s">
        <v>81</v>
      </c>
      <c r="C338" s="5">
        <v>297619.0</v>
      </c>
      <c r="D338" s="8" t="str">
        <f>+30.611664°</f>
        <v>#ERROR!</v>
      </c>
      <c r="E338" s="7" t="s">
        <v>696</v>
      </c>
    </row>
    <row r="339">
      <c r="A339" s="3" t="s">
        <v>668</v>
      </c>
      <c r="B339" s="4" t="s">
        <v>697</v>
      </c>
      <c r="C339" s="5">
        <v>95696.0</v>
      </c>
      <c r="D339" s="8" t="str">
        <f>+29.474894°</f>
        <v>#ERROR!</v>
      </c>
      <c r="E339" s="7" t="s">
        <v>698</v>
      </c>
    </row>
    <row r="340">
      <c r="A340" s="3" t="s">
        <v>668</v>
      </c>
      <c r="B340" s="4" t="s">
        <v>90</v>
      </c>
      <c r="C340" s="5">
        <v>11549.0</v>
      </c>
      <c r="D340" s="8" t="str">
        <f>+29.810176°</f>
        <v>#ERROR!</v>
      </c>
      <c r="E340" s="7" t="s">
        <v>699</v>
      </c>
    </row>
    <row r="341">
      <c r="A341" s="3" t="s">
        <v>668</v>
      </c>
      <c r="B341" s="4" t="s">
        <v>700</v>
      </c>
      <c r="C341" s="5">
        <v>46389.0</v>
      </c>
      <c r="D341" s="8" t="str">
        <f>+30.579170°</f>
        <v>#ERROR!</v>
      </c>
      <c r="E341" s="7" t="s">
        <v>701</v>
      </c>
    </row>
    <row r="342">
      <c r="A342" s="3" t="s">
        <v>668</v>
      </c>
      <c r="B342" s="4" t="s">
        <v>702</v>
      </c>
      <c r="C342" s="5">
        <v>16939.0</v>
      </c>
      <c r="D342" s="8" t="str">
        <f>+29.723456°</f>
        <v>#ERROR!</v>
      </c>
      <c r="E342" s="7" t="s">
        <v>703</v>
      </c>
    </row>
    <row r="343">
      <c r="A343" s="3" t="s">
        <v>668</v>
      </c>
      <c r="B343" s="4" t="s">
        <v>704</v>
      </c>
      <c r="C343" s="5">
        <v>12884.0</v>
      </c>
      <c r="D343" s="8" t="str">
        <f>+26.954810°</f>
        <v>#ERROR!</v>
      </c>
      <c r="E343" s="7" t="s">
        <v>705</v>
      </c>
    </row>
    <row r="344">
      <c r="A344" s="3" t="s">
        <v>668</v>
      </c>
      <c r="B344" s="4" t="s">
        <v>706</v>
      </c>
      <c r="C344" s="5">
        <v>15863.0</v>
      </c>
      <c r="D344" s="8" t="str">
        <f>+29.907257°</f>
        <v>#ERROR!</v>
      </c>
      <c r="E344" s="7" t="s">
        <v>707</v>
      </c>
    </row>
    <row r="345">
      <c r="A345" s="3" t="s">
        <v>668</v>
      </c>
      <c r="B345" s="4" t="s">
        <v>708</v>
      </c>
      <c r="C345" s="5">
        <v>14799.0</v>
      </c>
      <c r="D345" s="8" t="str">
        <f>+30.491102°</f>
        <v>#ERROR!</v>
      </c>
      <c r="E345" s="7" t="s">
        <v>709</v>
      </c>
    </row>
    <row r="346">
      <c r="A346" s="3" t="s">
        <v>668</v>
      </c>
      <c r="B346" s="4" t="s">
        <v>710</v>
      </c>
      <c r="C346" s="5">
        <v>27731.0</v>
      </c>
      <c r="D346" s="8" t="str">
        <f>+27.492846°</f>
        <v>#ERROR!</v>
      </c>
      <c r="E346" s="7" t="s">
        <v>711</v>
      </c>
    </row>
    <row r="347">
      <c r="A347" s="3" t="s">
        <v>668</v>
      </c>
      <c r="B347" s="4" t="s">
        <v>712</v>
      </c>
      <c r="C347" s="5">
        <v>39140.0</v>
      </c>
      <c r="D347" s="8" t="str">
        <f>+26.539340°</f>
        <v>#ERROR!</v>
      </c>
      <c r="E347" s="7" t="s">
        <v>713</v>
      </c>
    </row>
    <row r="348">
      <c r="A348" s="3" t="s">
        <v>668</v>
      </c>
      <c r="B348" s="4" t="s">
        <v>714</v>
      </c>
      <c r="C348" s="5">
        <v>172778.0</v>
      </c>
      <c r="D348" s="8" t="str">
        <f>+28.567911°</f>
        <v>#ERROR!</v>
      </c>
      <c r="E348" s="7" t="s">
        <v>715</v>
      </c>
    </row>
    <row r="349">
      <c r="A349" s="3" t="s">
        <v>668</v>
      </c>
      <c r="B349" s="4" t="s">
        <v>716</v>
      </c>
      <c r="C349" s="5">
        <v>98786.0</v>
      </c>
      <c r="D349" s="8" t="str">
        <f>+27.342627°</f>
        <v>#ERROR!</v>
      </c>
      <c r="E349" s="7" t="s">
        <v>717</v>
      </c>
    </row>
    <row r="350">
      <c r="A350" s="3" t="s">
        <v>668</v>
      </c>
      <c r="B350" s="4" t="s">
        <v>718</v>
      </c>
      <c r="C350" s="5">
        <v>1229226.0</v>
      </c>
      <c r="D350" s="8" t="str">
        <f>+27.906590°</f>
        <v>#ERROR!</v>
      </c>
      <c r="E350" s="7" t="s">
        <v>719</v>
      </c>
    </row>
    <row r="351">
      <c r="A351" s="3" t="s">
        <v>668</v>
      </c>
      <c r="B351" s="4" t="s">
        <v>720</v>
      </c>
      <c r="C351" s="5">
        <v>19927.0</v>
      </c>
      <c r="D351" s="8" t="str">
        <f>+30.866222°</f>
        <v>#ERROR!</v>
      </c>
      <c r="E351" s="7" t="s">
        <v>721</v>
      </c>
    </row>
    <row r="352">
      <c r="A352" s="3" t="s">
        <v>668</v>
      </c>
      <c r="B352" s="4" t="s">
        <v>722</v>
      </c>
      <c r="C352" s="5">
        <v>138028.0</v>
      </c>
      <c r="D352" s="8" t="str">
        <f>+27.700638°</f>
        <v>#ERROR!</v>
      </c>
      <c r="E352" s="7" t="s">
        <v>723</v>
      </c>
    </row>
    <row r="353">
      <c r="A353" s="3" t="s">
        <v>668</v>
      </c>
      <c r="B353" s="4" t="s">
        <v>108</v>
      </c>
      <c r="C353" s="5">
        <v>49746.0</v>
      </c>
      <c r="D353" s="8" t="str">
        <f>+30.787812°</f>
        <v>#ERROR!</v>
      </c>
      <c r="E353" s="7" t="s">
        <v>724</v>
      </c>
    </row>
    <row r="354">
      <c r="A354" s="3" t="s">
        <v>668</v>
      </c>
      <c r="B354" s="4" t="s">
        <v>111</v>
      </c>
      <c r="C354" s="5">
        <v>14761.0</v>
      </c>
      <c r="D354" s="8" t="str">
        <f>+30.424558°</f>
        <v>#ERROR!</v>
      </c>
      <c r="E354" s="7" t="s">
        <v>725</v>
      </c>
    </row>
    <row r="355">
      <c r="A355" s="3" t="s">
        <v>668</v>
      </c>
      <c r="B355" s="4" t="s">
        <v>338</v>
      </c>
      <c r="C355" s="5">
        <v>8870.0</v>
      </c>
      <c r="D355" s="8" t="str">
        <f>+29.990066°</f>
        <v>#ERROR!</v>
      </c>
      <c r="E355" s="7" t="s">
        <v>726</v>
      </c>
    </row>
    <row r="356">
      <c r="A356" s="3" t="s">
        <v>668</v>
      </c>
      <c r="B356" s="4" t="s">
        <v>439</v>
      </c>
      <c r="C356" s="5">
        <v>297052.0</v>
      </c>
      <c r="D356" s="8" t="str">
        <f>+28.764113°</f>
        <v>#ERROR!</v>
      </c>
      <c r="E356" s="7" t="s">
        <v>727</v>
      </c>
    </row>
    <row r="357">
      <c r="A357" s="3" t="s">
        <v>668</v>
      </c>
      <c r="B357" s="4" t="s">
        <v>123</v>
      </c>
      <c r="C357" s="5">
        <v>618754.0</v>
      </c>
      <c r="D357" s="8" t="str">
        <f>+26.552134°</f>
        <v>#ERROR!</v>
      </c>
      <c r="E357" s="7" t="s">
        <v>728</v>
      </c>
    </row>
    <row r="358">
      <c r="A358" s="3" t="s">
        <v>668</v>
      </c>
      <c r="B358" s="4" t="s">
        <v>729</v>
      </c>
      <c r="C358" s="5">
        <v>275487.0</v>
      </c>
      <c r="D358" s="8" t="str">
        <f>+30.459310°</f>
        <v>#ERROR!</v>
      </c>
      <c r="E358" s="7" t="s">
        <v>730</v>
      </c>
    </row>
    <row r="359">
      <c r="A359" s="3" t="s">
        <v>668</v>
      </c>
      <c r="B359" s="4" t="s">
        <v>731</v>
      </c>
      <c r="C359" s="5">
        <v>40801.0</v>
      </c>
      <c r="D359" s="8" t="str">
        <f>+29.284409°</f>
        <v>#ERROR!</v>
      </c>
      <c r="E359" s="7" t="s">
        <v>732</v>
      </c>
    </row>
    <row r="360">
      <c r="A360" s="3" t="s">
        <v>668</v>
      </c>
      <c r="B360" s="4" t="s">
        <v>733</v>
      </c>
      <c r="C360" s="5">
        <v>8365.0</v>
      </c>
      <c r="D360" s="8" t="str">
        <f>+30.259849°</f>
        <v>#ERROR!</v>
      </c>
      <c r="E360" s="7" t="s">
        <v>734</v>
      </c>
    </row>
    <row r="361">
      <c r="A361" s="3" t="s">
        <v>668</v>
      </c>
      <c r="B361" s="4" t="s">
        <v>135</v>
      </c>
      <c r="C361" s="5">
        <v>19224.0</v>
      </c>
      <c r="D361" s="8" t="str">
        <f>+30.447228°</f>
        <v>#ERROR!</v>
      </c>
      <c r="E361" s="7" t="s">
        <v>735</v>
      </c>
    </row>
    <row r="362">
      <c r="A362" s="3" t="s">
        <v>668</v>
      </c>
      <c r="B362" s="4" t="s">
        <v>736</v>
      </c>
      <c r="C362" s="5">
        <v>322833.0</v>
      </c>
      <c r="D362" s="8" t="str">
        <f>+27.481386°</f>
        <v>#ERROR!</v>
      </c>
      <c r="E362" s="7" t="s">
        <v>737</v>
      </c>
    </row>
    <row r="363">
      <c r="A363" s="3" t="s">
        <v>668</v>
      </c>
      <c r="B363" s="4" t="s">
        <v>141</v>
      </c>
      <c r="C363" s="5">
        <v>331298.0</v>
      </c>
      <c r="D363" s="8" t="str">
        <f>+29.202805°</f>
        <v>#ERROR!</v>
      </c>
      <c r="E363" s="7" t="s">
        <v>738</v>
      </c>
    </row>
    <row r="364">
      <c r="A364" s="3" t="s">
        <v>668</v>
      </c>
      <c r="B364" s="4" t="s">
        <v>739</v>
      </c>
      <c r="C364" s="5">
        <v>146318.0</v>
      </c>
      <c r="D364" s="8" t="str">
        <f>+27.079954°</f>
        <v>#ERROR!</v>
      </c>
      <c r="E364" s="7" t="s">
        <v>740</v>
      </c>
    </row>
    <row r="365">
      <c r="A365" s="3" t="s">
        <v>668</v>
      </c>
      <c r="B365" s="4" t="s">
        <v>741</v>
      </c>
      <c r="C365" s="5">
        <v>2496435.0</v>
      </c>
      <c r="D365" s="8" t="str">
        <f>+25.610494°</f>
        <v>#ERROR!</v>
      </c>
      <c r="E365" s="7" t="s">
        <v>742</v>
      </c>
    </row>
    <row r="366">
      <c r="A366" s="3" t="s">
        <v>668</v>
      </c>
      <c r="B366" s="4" t="s">
        <v>147</v>
      </c>
      <c r="C366" s="5">
        <v>73090.0</v>
      </c>
      <c r="D366" s="8" t="str">
        <f>+25.601043°</f>
        <v>#ERROR!</v>
      </c>
      <c r="E366" s="7" t="s">
        <v>743</v>
      </c>
    </row>
    <row r="367">
      <c r="A367" s="3" t="s">
        <v>668</v>
      </c>
      <c r="B367" s="4" t="s">
        <v>744</v>
      </c>
      <c r="C367" s="5">
        <v>73314.0</v>
      </c>
      <c r="D367" s="8" t="str">
        <f>+30.605926°</f>
        <v>#ERROR!</v>
      </c>
      <c r="E367" s="7" t="s">
        <v>745</v>
      </c>
    </row>
    <row r="368">
      <c r="A368" s="3" t="s">
        <v>668</v>
      </c>
      <c r="B368" s="4" t="s">
        <v>746</v>
      </c>
      <c r="C368" s="5">
        <v>180822.0</v>
      </c>
      <c r="D368" s="8" t="str">
        <f>+30.665858°</f>
        <v>#ERROR!</v>
      </c>
      <c r="E368" s="7" t="s">
        <v>747</v>
      </c>
    </row>
    <row r="369">
      <c r="A369" s="3" t="s">
        <v>668</v>
      </c>
      <c r="B369" s="4" t="s">
        <v>748</v>
      </c>
      <c r="C369" s="5">
        <v>39996.0</v>
      </c>
      <c r="D369" s="8" t="str">
        <f>+27.385592°</f>
        <v>#ERROR!</v>
      </c>
      <c r="E369" s="7" t="s">
        <v>749</v>
      </c>
    </row>
    <row r="370">
      <c r="A370" s="3" t="s">
        <v>668</v>
      </c>
      <c r="B370" s="4" t="s">
        <v>464</v>
      </c>
      <c r="C370" s="5">
        <v>1145956.0</v>
      </c>
      <c r="D370" s="8" t="str">
        <f>+28.514435°</f>
        <v>#ERROR!</v>
      </c>
      <c r="E370" s="7" t="s">
        <v>750</v>
      </c>
    </row>
    <row r="371">
      <c r="A371" s="3" t="s">
        <v>668</v>
      </c>
      <c r="B371" s="4" t="s">
        <v>751</v>
      </c>
      <c r="C371" s="5">
        <v>268685.0</v>
      </c>
      <c r="D371" s="8" t="str">
        <f>+28.059027°</f>
        <v>#ERROR!</v>
      </c>
      <c r="E371" s="7" t="s">
        <v>752</v>
      </c>
    </row>
    <row r="372">
      <c r="A372" s="3" t="s">
        <v>668</v>
      </c>
      <c r="B372" s="4" t="s">
        <v>753</v>
      </c>
      <c r="C372" s="5">
        <v>1320134.0</v>
      </c>
      <c r="D372" s="8" t="str">
        <f>+26.645763°</f>
        <v>#ERROR!</v>
      </c>
      <c r="E372" s="7" t="s">
        <v>754</v>
      </c>
    </row>
    <row r="373">
      <c r="A373" s="3" t="s">
        <v>668</v>
      </c>
      <c r="B373" s="4" t="s">
        <v>755</v>
      </c>
      <c r="C373" s="5">
        <v>464697.0</v>
      </c>
      <c r="D373" s="8" t="str">
        <f>+28.302024°</f>
        <v>#ERROR!</v>
      </c>
      <c r="E373" s="7" t="s">
        <v>756</v>
      </c>
    </row>
    <row r="374">
      <c r="A374" s="3" t="s">
        <v>668</v>
      </c>
      <c r="B374" s="4" t="s">
        <v>757</v>
      </c>
      <c r="C374" s="5">
        <v>916542.0</v>
      </c>
      <c r="D374" s="8" t="str">
        <f>+27.903122°</f>
        <v>#ERROR!</v>
      </c>
      <c r="E374" s="7" t="s">
        <v>758</v>
      </c>
    </row>
    <row r="375">
      <c r="A375" s="3" t="s">
        <v>668</v>
      </c>
      <c r="B375" s="4" t="s">
        <v>370</v>
      </c>
      <c r="C375" s="5">
        <v>602095.0</v>
      </c>
      <c r="D375" s="8" t="str">
        <f>+27.953115°</f>
        <v>#ERROR!</v>
      </c>
      <c r="E375" s="7" t="s">
        <v>759</v>
      </c>
    </row>
    <row r="376">
      <c r="A376" s="3" t="s">
        <v>668</v>
      </c>
      <c r="B376" s="4" t="s">
        <v>760</v>
      </c>
      <c r="C376" s="5">
        <v>74364.0</v>
      </c>
      <c r="D376" s="8" t="str">
        <f>+29.606006°</f>
        <v>#ERROR!</v>
      </c>
      <c r="E376" s="7" t="s">
        <v>761</v>
      </c>
    </row>
    <row r="377">
      <c r="A377" s="3" t="s">
        <v>668</v>
      </c>
      <c r="B377" s="4" t="s">
        <v>762</v>
      </c>
      <c r="C377" s="5">
        <v>190039.0</v>
      </c>
      <c r="D377" s="8" t="str">
        <f>+29.890593°</f>
        <v>#ERROR!</v>
      </c>
      <c r="E377" s="7" t="s">
        <v>763</v>
      </c>
    </row>
    <row r="378">
      <c r="A378" s="3" t="s">
        <v>668</v>
      </c>
      <c r="B378" s="4" t="s">
        <v>764</v>
      </c>
      <c r="C378" s="5">
        <v>277789.0</v>
      </c>
      <c r="D378" s="8" t="str">
        <f>+27.380775°</f>
        <v>#ERROR!</v>
      </c>
      <c r="E378" s="7" t="s">
        <v>765</v>
      </c>
    </row>
    <row r="379">
      <c r="A379" s="3" t="s">
        <v>668</v>
      </c>
      <c r="B379" s="4" t="s">
        <v>766</v>
      </c>
      <c r="C379" s="5">
        <v>151372.0</v>
      </c>
      <c r="D379" s="8" t="str">
        <f>+30.703633°</f>
        <v>#ERROR!</v>
      </c>
      <c r="E379" s="7" t="s">
        <v>767</v>
      </c>
    </row>
    <row r="380">
      <c r="A380" s="3" t="s">
        <v>668</v>
      </c>
      <c r="B380" s="4" t="s">
        <v>768</v>
      </c>
      <c r="C380" s="5">
        <v>379448.0</v>
      </c>
      <c r="D380" s="8" t="str">
        <f>+27.184386°</f>
        <v>#ERROR!</v>
      </c>
      <c r="E380" s="7" t="s">
        <v>769</v>
      </c>
    </row>
    <row r="381">
      <c r="A381" s="3" t="s">
        <v>668</v>
      </c>
      <c r="B381" s="4" t="s">
        <v>770</v>
      </c>
      <c r="C381" s="5">
        <v>422718.0</v>
      </c>
      <c r="D381" s="8" t="str">
        <f>+28.690079°</f>
        <v>#ERROR!</v>
      </c>
      <c r="E381" s="7" t="s">
        <v>771</v>
      </c>
    </row>
    <row r="382">
      <c r="A382" s="3" t="s">
        <v>668</v>
      </c>
      <c r="B382" s="4" t="s">
        <v>167</v>
      </c>
      <c r="C382" s="5">
        <v>93420.0</v>
      </c>
      <c r="D382" s="8" t="str">
        <f>+28.714294°</f>
        <v>#ERROR!</v>
      </c>
      <c r="E382" s="7" t="s">
        <v>772</v>
      </c>
    </row>
    <row r="383">
      <c r="A383" s="3" t="s">
        <v>668</v>
      </c>
      <c r="B383" s="4" t="s">
        <v>773</v>
      </c>
      <c r="C383" s="5">
        <v>41551.0</v>
      </c>
      <c r="D383" s="8" t="str">
        <f>+30.189244°</f>
        <v>#ERROR!</v>
      </c>
      <c r="E383" s="7" t="s">
        <v>774</v>
      </c>
    </row>
    <row r="384">
      <c r="A384" s="3" t="s">
        <v>668</v>
      </c>
      <c r="B384" s="4" t="s">
        <v>775</v>
      </c>
      <c r="C384" s="5">
        <v>22570.0</v>
      </c>
      <c r="D384" s="8" t="str">
        <f>+30.016943°</f>
        <v>#ERROR!</v>
      </c>
      <c r="E384" s="7" t="s">
        <v>776</v>
      </c>
    </row>
    <row r="385">
      <c r="A385" s="3" t="s">
        <v>668</v>
      </c>
      <c r="B385" s="4" t="s">
        <v>395</v>
      </c>
      <c r="C385" s="5">
        <v>15535.0</v>
      </c>
      <c r="D385" s="8" t="str">
        <f>+30.054280°</f>
        <v>#ERROR!</v>
      </c>
      <c r="E385" s="7" t="s">
        <v>777</v>
      </c>
    </row>
    <row r="386">
      <c r="A386" s="3" t="s">
        <v>668</v>
      </c>
      <c r="B386" s="4" t="s">
        <v>778</v>
      </c>
      <c r="C386" s="5">
        <v>494593.0</v>
      </c>
      <c r="D386" s="8" t="str">
        <f>+29.057617°</f>
        <v>#ERROR!</v>
      </c>
      <c r="E386" s="7" t="s">
        <v>779</v>
      </c>
    </row>
    <row r="387">
      <c r="A387" s="3" t="s">
        <v>668</v>
      </c>
      <c r="B387" s="4" t="s">
        <v>780</v>
      </c>
      <c r="C387" s="5">
        <v>30776.0</v>
      </c>
      <c r="D387" s="8" t="str">
        <f>+30.140378°</f>
        <v>#ERROR!</v>
      </c>
      <c r="E387" s="7" t="s">
        <v>781</v>
      </c>
    </row>
    <row r="388">
      <c r="A388" s="3" t="s">
        <v>668</v>
      </c>
      <c r="B388" s="4" t="s">
        <v>782</v>
      </c>
      <c r="C388" s="5">
        <v>55043.0</v>
      </c>
      <c r="D388" s="8" t="str">
        <f>+30.631211°</f>
        <v>#ERROR!</v>
      </c>
      <c r="E388" s="7" t="s">
        <v>783</v>
      </c>
    </row>
    <row r="389">
      <c r="A389" s="3" t="s">
        <v>668</v>
      </c>
      <c r="B389" s="4" t="s">
        <v>177</v>
      </c>
      <c r="C389" s="5">
        <v>24896.0</v>
      </c>
      <c r="D389" s="8" t="str">
        <f>+30.602217°</f>
        <v>#ERROR!</v>
      </c>
      <c r="E389" s="7" t="s">
        <v>784</v>
      </c>
    </row>
    <row r="390">
      <c r="A390" s="3" t="s">
        <v>785</v>
      </c>
      <c r="B390" s="4" t="s">
        <v>786</v>
      </c>
      <c r="C390" s="5">
        <v>18236.0</v>
      </c>
      <c r="D390" s="8" t="str">
        <f>+31.739712°</f>
        <v>#ERROR!</v>
      </c>
      <c r="E390" s="7" t="s">
        <v>787</v>
      </c>
    </row>
    <row r="391">
      <c r="A391" s="3" t="s">
        <v>785</v>
      </c>
      <c r="B391" s="4" t="s">
        <v>788</v>
      </c>
      <c r="C391" s="5">
        <v>8375.0</v>
      </c>
      <c r="D391" s="8" t="str">
        <f>+31.300562°</f>
        <v>#ERROR!</v>
      </c>
      <c r="E391" s="7" t="s">
        <v>789</v>
      </c>
    </row>
    <row r="392">
      <c r="A392" s="3" t="s">
        <v>785</v>
      </c>
      <c r="B392" s="4" t="s">
        <v>790</v>
      </c>
      <c r="C392" s="5">
        <v>11096.0</v>
      </c>
      <c r="D392" s="8" t="str">
        <f>+31.563327°</f>
        <v>#ERROR!</v>
      </c>
      <c r="E392" s="7" t="s">
        <v>791</v>
      </c>
    </row>
    <row r="393">
      <c r="A393" s="3" t="s">
        <v>785</v>
      </c>
      <c r="B393" s="4" t="s">
        <v>671</v>
      </c>
      <c r="C393" s="5">
        <v>3451.0</v>
      </c>
      <c r="D393" s="8" t="str">
        <f>+31.319622°</f>
        <v>#ERROR!</v>
      </c>
      <c r="E393" s="7" t="s">
        <v>792</v>
      </c>
    </row>
    <row r="394">
      <c r="A394" s="3" t="s">
        <v>785</v>
      </c>
      <c r="B394" s="4" t="s">
        <v>9</v>
      </c>
      <c r="C394" s="5">
        <v>45720.0</v>
      </c>
      <c r="D394" s="8" t="str">
        <f>+33.059532°</f>
        <v>#ERROR!</v>
      </c>
      <c r="E394" s="7" t="s">
        <v>793</v>
      </c>
    </row>
    <row r="395">
      <c r="A395" s="3" t="s">
        <v>785</v>
      </c>
      <c r="B395" s="4" t="s">
        <v>794</v>
      </c>
      <c r="C395" s="5">
        <v>18395.0</v>
      </c>
      <c r="D395" s="8" t="str">
        <f>+34.351922°</f>
        <v>#ERROR!</v>
      </c>
      <c r="E395" s="7" t="s">
        <v>795</v>
      </c>
    </row>
    <row r="396">
      <c r="A396" s="3" t="s">
        <v>785</v>
      </c>
      <c r="B396" s="4" t="s">
        <v>796</v>
      </c>
      <c r="C396" s="5">
        <v>69367.0</v>
      </c>
      <c r="D396" s="8" t="str">
        <f>+33.992009°</f>
        <v>#ERROR!</v>
      </c>
      <c r="E396" s="7" t="s">
        <v>797</v>
      </c>
    </row>
    <row r="397">
      <c r="A397" s="3" t="s">
        <v>785</v>
      </c>
      <c r="B397" s="4" t="s">
        <v>798</v>
      </c>
      <c r="C397" s="5">
        <v>100157.0</v>
      </c>
      <c r="D397" s="8" t="str">
        <f>+34.240918°</f>
        <v>#ERROR!</v>
      </c>
      <c r="E397" s="7" t="s">
        <v>799</v>
      </c>
    </row>
    <row r="398">
      <c r="A398" s="3" t="s">
        <v>785</v>
      </c>
      <c r="B398" s="4" t="s">
        <v>800</v>
      </c>
      <c r="C398" s="5">
        <v>17634.0</v>
      </c>
      <c r="D398" s="8" t="str">
        <f>+31.740776°</f>
        <v>#ERROR!</v>
      </c>
      <c r="E398" s="7" t="s">
        <v>801</v>
      </c>
    </row>
    <row r="399">
      <c r="A399" s="3" t="s">
        <v>785</v>
      </c>
      <c r="B399" s="4" t="s">
        <v>802</v>
      </c>
      <c r="C399" s="5">
        <v>19286.0</v>
      </c>
      <c r="D399" s="8" t="str">
        <f>+31.274308°</f>
        <v>#ERROR!</v>
      </c>
      <c r="E399" s="7" t="s">
        <v>803</v>
      </c>
    </row>
    <row r="400">
      <c r="A400" s="3" t="s">
        <v>785</v>
      </c>
      <c r="B400" s="4" t="s">
        <v>15</v>
      </c>
      <c r="C400" s="5">
        <v>155547.0</v>
      </c>
      <c r="D400" s="8" t="str">
        <f>+32.808844°</f>
        <v>#ERROR!</v>
      </c>
      <c r="E400" s="7" t="s">
        <v>804</v>
      </c>
    </row>
    <row r="401">
      <c r="A401" s="3" t="s">
        <v>785</v>
      </c>
      <c r="B401" s="4" t="s">
        <v>805</v>
      </c>
      <c r="C401" s="5">
        <v>13063.0</v>
      </c>
      <c r="D401" s="8" t="str">
        <f>+32.435403°</f>
        <v>#ERROR!</v>
      </c>
      <c r="E401" s="7" t="s">
        <v>806</v>
      </c>
    </row>
    <row r="402">
      <c r="A402" s="3" t="s">
        <v>785</v>
      </c>
      <c r="B402" s="4" t="s">
        <v>807</v>
      </c>
      <c r="C402" s="5">
        <v>18411.0</v>
      </c>
      <c r="D402" s="8" t="str">
        <f>+31.197334°</f>
        <v>#ERROR!</v>
      </c>
      <c r="E402" s="7" t="s">
        <v>808</v>
      </c>
    </row>
    <row r="403">
      <c r="A403" s="3" t="s">
        <v>785</v>
      </c>
      <c r="B403" s="4" t="s">
        <v>809</v>
      </c>
      <c r="C403" s="5">
        <v>16243.0</v>
      </c>
      <c r="D403" s="8" t="str">
        <f>+30.833696°</f>
        <v>#ERROR!</v>
      </c>
      <c r="E403" s="7" t="s">
        <v>810</v>
      </c>
    </row>
    <row r="404">
      <c r="A404" s="3" t="s">
        <v>785</v>
      </c>
      <c r="B404" s="4" t="s">
        <v>811</v>
      </c>
      <c r="C404" s="5">
        <v>30233.0</v>
      </c>
      <c r="D404" s="8" t="str">
        <f>+32.017969°</f>
        <v>#ERROR!</v>
      </c>
      <c r="E404" s="7" t="s">
        <v>812</v>
      </c>
    </row>
    <row r="405">
      <c r="A405" s="3" t="s">
        <v>785</v>
      </c>
      <c r="B405" s="4" t="s">
        <v>813</v>
      </c>
      <c r="C405" s="5">
        <v>70217.0</v>
      </c>
      <c r="D405" s="8" t="str">
        <f>+32.393408°</f>
        <v>#ERROR!</v>
      </c>
      <c r="E405" s="7" t="s">
        <v>814</v>
      </c>
    </row>
    <row r="406">
      <c r="A406" s="3" t="s">
        <v>785</v>
      </c>
      <c r="B406" s="4" t="s">
        <v>815</v>
      </c>
      <c r="C406" s="5">
        <v>23316.0</v>
      </c>
      <c r="D406" s="8" t="str">
        <f>+33.063737°</f>
        <v>#ERROR!</v>
      </c>
      <c r="E406" s="7" t="s">
        <v>816</v>
      </c>
    </row>
    <row r="407">
      <c r="A407" s="3" t="s">
        <v>785</v>
      </c>
      <c r="B407" s="4" t="s">
        <v>817</v>
      </c>
      <c r="C407" s="5">
        <v>23655.0</v>
      </c>
      <c r="D407" s="8" t="str">
        <f>+33.290355°</f>
        <v>#ERROR!</v>
      </c>
      <c r="E407" s="7" t="s">
        <v>818</v>
      </c>
    </row>
    <row r="408">
      <c r="A408" s="3" t="s">
        <v>785</v>
      </c>
      <c r="B408" s="4" t="s">
        <v>27</v>
      </c>
      <c r="C408" s="5">
        <v>6694.0</v>
      </c>
      <c r="D408" s="8" t="str">
        <f>+31.521279°</f>
        <v>#ERROR!</v>
      </c>
      <c r="E408" s="7" t="s">
        <v>819</v>
      </c>
    </row>
    <row r="409">
      <c r="A409" s="3" t="s">
        <v>785</v>
      </c>
      <c r="B409" s="4" t="s">
        <v>820</v>
      </c>
      <c r="C409" s="5">
        <v>50513.0</v>
      </c>
      <c r="D409" s="8" t="str">
        <f>+30.916358°</f>
        <v>#ERROR!</v>
      </c>
      <c r="E409" s="7" t="s">
        <v>821</v>
      </c>
    </row>
    <row r="410">
      <c r="A410" s="3" t="s">
        <v>785</v>
      </c>
      <c r="B410" s="4" t="s">
        <v>822</v>
      </c>
      <c r="C410" s="5">
        <v>10998.0</v>
      </c>
      <c r="D410" s="8" t="str">
        <f>+32.403986°</f>
        <v>#ERROR!</v>
      </c>
      <c r="E410" s="7" t="s">
        <v>823</v>
      </c>
    </row>
    <row r="411">
      <c r="A411" s="3" t="s">
        <v>785</v>
      </c>
      <c r="B411" s="4" t="s">
        <v>287</v>
      </c>
      <c r="C411" s="5">
        <v>110527.0</v>
      </c>
      <c r="D411" s="8" t="str">
        <f>+33.582237°</f>
        <v>#ERROR!</v>
      </c>
      <c r="E411" s="7" t="s">
        <v>824</v>
      </c>
    </row>
    <row r="412">
      <c r="A412" s="3" t="s">
        <v>785</v>
      </c>
      <c r="B412" s="4" t="s">
        <v>825</v>
      </c>
      <c r="C412" s="5">
        <v>63942.0</v>
      </c>
      <c r="D412" s="8" t="str">
        <f>+34.899393°</f>
        <v>#ERROR!</v>
      </c>
      <c r="E412" s="7" t="s">
        <v>826</v>
      </c>
    </row>
    <row r="413">
      <c r="A413" s="3" t="s">
        <v>785</v>
      </c>
      <c r="B413" s="4" t="s">
        <v>827</v>
      </c>
      <c r="C413" s="5">
        <v>12171.0</v>
      </c>
      <c r="D413" s="8" t="str">
        <f>+30.779904°</f>
        <v>#ERROR!</v>
      </c>
      <c r="E413" s="7" t="s">
        <v>828</v>
      </c>
    </row>
    <row r="414">
      <c r="A414" s="3" t="s">
        <v>785</v>
      </c>
      <c r="B414" s="4" t="s">
        <v>829</v>
      </c>
      <c r="C414" s="5">
        <v>265128.0</v>
      </c>
      <c r="D414" s="8" t="str">
        <f>+31.974756°</f>
        <v>#ERROR!</v>
      </c>
      <c r="E414" s="7" t="s">
        <v>830</v>
      </c>
    </row>
    <row r="415">
      <c r="A415" s="3" t="s">
        <v>785</v>
      </c>
      <c r="B415" s="4" t="s">
        <v>831</v>
      </c>
      <c r="C415" s="5">
        <v>11267.0</v>
      </c>
      <c r="D415" s="8" t="str">
        <f>+32.347445°</f>
        <v>#ERROR!</v>
      </c>
      <c r="E415" s="7" t="s">
        <v>832</v>
      </c>
    </row>
    <row r="416">
      <c r="A416" s="3" t="s">
        <v>785</v>
      </c>
      <c r="B416" s="4" t="s">
        <v>833</v>
      </c>
      <c r="C416" s="5">
        <v>26015.0</v>
      </c>
      <c r="D416" s="8" t="str">
        <f>+34.474179°</f>
        <v>#ERROR!</v>
      </c>
      <c r="E416" s="7" t="s">
        <v>834</v>
      </c>
    </row>
    <row r="417">
      <c r="A417" s="3" t="s">
        <v>785</v>
      </c>
      <c r="B417" s="4" t="s">
        <v>835</v>
      </c>
      <c r="C417" s="5">
        <v>214346.0</v>
      </c>
      <c r="D417" s="8" t="str">
        <f>+34.244317°</f>
        <v>#ERROR!</v>
      </c>
      <c r="E417" s="7" t="s">
        <v>836</v>
      </c>
    </row>
    <row r="418">
      <c r="A418" s="3" t="s">
        <v>785</v>
      </c>
      <c r="B418" s="4" t="s">
        <v>39</v>
      </c>
      <c r="C418" s="5">
        <v>116714.0</v>
      </c>
      <c r="D418" s="8" t="str">
        <f>+33.952234°</f>
        <v>#ERROR!</v>
      </c>
      <c r="E418" s="7" t="s">
        <v>837</v>
      </c>
    </row>
    <row r="419">
      <c r="A419" s="3" t="s">
        <v>785</v>
      </c>
      <c r="B419" s="4" t="s">
        <v>42</v>
      </c>
      <c r="C419" s="5">
        <v>3183.0</v>
      </c>
      <c r="D419" s="8" t="str">
        <f>+31.619831°</f>
        <v>#ERROR!</v>
      </c>
      <c r="E419" s="7" t="s">
        <v>838</v>
      </c>
    </row>
    <row r="420">
      <c r="A420" s="3" t="s">
        <v>785</v>
      </c>
      <c r="B420" s="4" t="s">
        <v>839</v>
      </c>
      <c r="C420" s="5">
        <v>259424.0</v>
      </c>
      <c r="D420" s="8" t="str">
        <f>+33.552242°</f>
        <v>#ERROR!</v>
      </c>
      <c r="E420" s="7" t="s">
        <v>840</v>
      </c>
    </row>
    <row r="421">
      <c r="A421" s="3" t="s">
        <v>785</v>
      </c>
      <c r="B421" s="4" t="s">
        <v>841</v>
      </c>
      <c r="C421" s="5">
        <v>6798.0</v>
      </c>
      <c r="D421" s="8" t="str">
        <f>+30.917653°</f>
        <v>#ERROR!</v>
      </c>
      <c r="E421" s="7" t="s">
        <v>842</v>
      </c>
    </row>
    <row r="422">
      <c r="A422" s="3" t="s">
        <v>785</v>
      </c>
      <c r="B422" s="4" t="s">
        <v>843</v>
      </c>
      <c r="C422" s="5">
        <v>688078.0</v>
      </c>
      <c r="D422" s="8" t="str">
        <f>+33.939940°</f>
        <v>#ERROR!</v>
      </c>
      <c r="E422" s="7" t="s">
        <v>844</v>
      </c>
    </row>
    <row r="423">
      <c r="A423" s="3" t="s">
        <v>785</v>
      </c>
      <c r="B423" s="4" t="s">
        <v>48</v>
      </c>
      <c r="C423" s="5">
        <v>42356.0</v>
      </c>
      <c r="D423" s="8" t="str">
        <f>+31.549245°</f>
        <v>#ERROR!</v>
      </c>
      <c r="E423" s="7" t="s">
        <v>845</v>
      </c>
    </row>
    <row r="424">
      <c r="A424" s="3" t="s">
        <v>785</v>
      </c>
      <c r="B424" s="4" t="s">
        <v>846</v>
      </c>
      <c r="C424" s="5">
        <v>45498.0</v>
      </c>
      <c r="D424" s="8" t="str">
        <f>+31.189758°</f>
        <v>#ERROR!</v>
      </c>
      <c r="E424" s="7" t="s">
        <v>847</v>
      </c>
    </row>
    <row r="425">
      <c r="A425" s="3" t="s">
        <v>785</v>
      </c>
      <c r="B425" s="4" t="s">
        <v>297</v>
      </c>
      <c r="C425" s="5">
        <v>124053.0</v>
      </c>
      <c r="D425" s="8" t="str">
        <f>+33.550556°</f>
        <v>#ERROR!</v>
      </c>
      <c r="E425" s="7" t="s">
        <v>848</v>
      </c>
    </row>
    <row r="426">
      <c r="A426" s="3" t="s">
        <v>785</v>
      </c>
      <c r="B426" s="4" t="s">
        <v>849</v>
      </c>
      <c r="C426" s="5">
        <v>17212.0</v>
      </c>
      <c r="D426" s="8" t="str">
        <f>+31.152935°</f>
        <v>#ERROR!</v>
      </c>
      <c r="E426" s="7" t="s">
        <v>850</v>
      </c>
    </row>
    <row r="427">
      <c r="A427" s="3" t="s">
        <v>785</v>
      </c>
      <c r="B427" s="4" t="s">
        <v>851</v>
      </c>
      <c r="C427" s="5">
        <v>127317.0</v>
      </c>
      <c r="D427" s="8" t="str">
        <f>+33.352897°</f>
        <v>#ERROR!</v>
      </c>
      <c r="E427" s="7" t="s">
        <v>852</v>
      </c>
    </row>
    <row r="428">
      <c r="A428" s="3" t="s">
        <v>785</v>
      </c>
      <c r="B428" s="4" t="s">
        <v>303</v>
      </c>
      <c r="C428" s="5">
        <v>12630.0</v>
      </c>
      <c r="D428" s="8" t="str">
        <f>+32.709446°</f>
        <v>#ERROR!</v>
      </c>
      <c r="E428" s="7" t="s">
        <v>853</v>
      </c>
    </row>
    <row r="429">
      <c r="A429" s="3" t="s">
        <v>785</v>
      </c>
      <c r="B429" s="4" t="s">
        <v>854</v>
      </c>
      <c r="C429" s="5">
        <v>23439.0</v>
      </c>
      <c r="D429" s="8" t="str">
        <f>+31.914753°</f>
        <v>#ERROR!</v>
      </c>
      <c r="E429" s="7" t="s">
        <v>855</v>
      </c>
    </row>
    <row r="430">
      <c r="A430" s="3" t="s">
        <v>785</v>
      </c>
      <c r="B430" s="4" t="s">
        <v>856</v>
      </c>
      <c r="C430" s="5">
        <v>16633.0</v>
      </c>
      <c r="D430" s="8" t="str">
        <f>+34.852424°</f>
        <v>#ERROR!</v>
      </c>
      <c r="E430" s="7" t="s">
        <v>857</v>
      </c>
    </row>
    <row r="431">
      <c r="A431" s="3" t="s">
        <v>785</v>
      </c>
      <c r="B431" s="4" t="s">
        <v>858</v>
      </c>
      <c r="C431" s="5">
        <v>22330.0</v>
      </c>
      <c r="D431" s="8" t="str">
        <f>+34.442842°</f>
        <v>#ERROR!</v>
      </c>
      <c r="E431" s="7" t="s">
        <v>859</v>
      </c>
    </row>
    <row r="432">
      <c r="A432" s="3" t="s">
        <v>785</v>
      </c>
      <c r="B432" s="4" t="s">
        <v>860</v>
      </c>
      <c r="C432" s="5">
        <v>27842.0</v>
      </c>
      <c r="D432" s="8" t="str">
        <f>+30.877961°</f>
        <v>#ERROR!</v>
      </c>
      <c r="E432" s="7" t="s">
        <v>861</v>
      </c>
    </row>
    <row r="433">
      <c r="A433" s="3" t="s">
        <v>785</v>
      </c>
      <c r="B433" s="4" t="s">
        <v>75</v>
      </c>
      <c r="C433" s="5">
        <v>691893.0</v>
      </c>
      <c r="D433" s="8" t="str">
        <f>+33.770661°</f>
        <v>#ERROR!</v>
      </c>
      <c r="E433" s="7" t="s">
        <v>862</v>
      </c>
    </row>
    <row r="434">
      <c r="A434" s="3" t="s">
        <v>785</v>
      </c>
      <c r="B434" s="4" t="s">
        <v>863</v>
      </c>
      <c r="C434" s="5">
        <v>21796.0</v>
      </c>
      <c r="D434" s="8" t="str">
        <f>+32.160656°</f>
        <v>#ERROR!</v>
      </c>
      <c r="E434" s="7" t="s">
        <v>864</v>
      </c>
    </row>
    <row r="435">
      <c r="A435" s="3" t="s">
        <v>785</v>
      </c>
      <c r="B435" s="4" t="s">
        <v>865</v>
      </c>
      <c r="C435" s="5">
        <v>14918.0</v>
      </c>
      <c r="D435" s="8" t="str">
        <f>+32.151995°</f>
        <v>#ERROR!</v>
      </c>
      <c r="E435" s="7" t="s">
        <v>866</v>
      </c>
    </row>
    <row r="436">
      <c r="A436" s="3" t="s">
        <v>785</v>
      </c>
      <c r="B436" s="4" t="s">
        <v>867</v>
      </c>
      <c r="C436" s="5">
        <v>94565.0</v>
      </c>
      <c r="D436" s="8" t="str">
        <f>+31.535068°</f>
        <v>#ERROR!</v>
      </c>
      <c r="E436" s="7" t="s">
        <v>868</v>
      </c>
    </row>
    <row r="437">
      <c r="A437" s="3" t="s">
        <v>785</v>
      </c>
      <c r="B437" s="4" t="s">
        <v>558</v>
      </c>
      <c r="C437" s="5">
        <v>132403.0</v>
      </c>
      <c r="D437" s="8" t="str">
        <f>+33.699317°</f>
        <v>#ERROR!</v>
      </c>
      <c r="E437" s="7" t="s">
        <v>869</v>
      </c>
    </row>
    <row r="438">
      <c r="A438" s="3" t="s">
        <v>785</v>
      </c>
      <c r="B438" s="4" t="s">
        <v>870</v>
      </c>
      <c r="C438" s="5">
        <v>11008.0</v>
      </c>
      <c r="D438" s="8" t="str">
        <f>+31.324191°</f>
        <v>#ERROR!</v>
      </c>
      <c r="E438" s="7" t="s">
        <v>871</v>
      </c>
    </row>
    <row r="439">
      <c r="A439" s="3" t="s">
        <v>785</v>
      </c>
      <c r="B439" s="4" t="s">
        <v>872</v>
      </c>
      <c r="C439" s="5">
        <v>4034.0</v>
      </c>
      <c r="D439" s="8" t="str">
        <f>+30.708500°</f>
        <v>#ERROR!</v>
      </c>
      <c r="E439" s="7" t="s">
        <v>873</v>
      </c>
    </row>
    <row r="440">
      <c r="A440" s="3" t="s">
        <v>785</v>
      </c>
      <c r="B440" s="4" t="s">
        <v>874</v>
      </c>
      <c r="C440" s="5">
        <v>52250.0</v>
      </c>
      <c r="D440" s="8" t="str">
        <f>+32.361711°</f>
        <v>#ERROR!</v>
      </c>
      <c r="E440" s="7" t="s">
        <v>875</v>
      </c>
    </row>
    <row r="441">
      <c r="A441" s="3" t="s">
        <v>785</v>
      </c>
      <c r="B441" s="4" t="s">
        <v>562</v>
      </c>
      <c r="C441" s="5">
        <v>20166.0</v>
      </c>
      <c r="D441" s="8" t="str">
        <f>+34.115017°</f>
        <v>#ERROR!</v>
      </c>
      <c r="E441" s="7" t="s">
        <v>876</v>
      </c>
    </row>
    <row r="442">
      <c r="A442" s="3" t="s">
        <v>785</v>
      </c>
      <c r="B442" s="4" t="s">
        <v>877</v>
      </c>
      <c r="C442" s="5">
        <v>22598.0</v>
      </c>
      <c r="D442" s="8" t="str">
        <f>+32.591100°</f>
        <v>#ERROR!</v>
      </c>
      <c r="E442" s="7" t="s">
        <v>878</v>
      </c>
    </row>
    <row r="443">
      <c r="A443" s="3" t="s">
        <v>785</v>
      </c>
      <c r="B443" s="4" t="s">
        <v>879</v>
      </c>
      <c r="C443" s="5">
        <v>11000.0</v>
      </c>
      <c r="D443" s="8" t="str">
        <f>+32.151902°</f>
        <v>#ERROR!</v>
      </c>
      <c r="E443" s="7" t="s">
        <v>880</v>
      </c>
    </row>
    <row r="444">
      <c r="A444" s="3" t="s">
        <v>785</v>
      </c>
      <c r="B444" s="4" t="s">
        <v>881</v>
      </c>
      <c r="C444" s="5">
        <v>23682.0</v>
      </c>
      <c r="D444" s="8" t="str">
        <f>+34.863837°</f>
        <v>#ERROR!</v>
      </c>
      <c r="E444" s="7" t="s">
        <v>882</v>
      </c>
    </row>
    <row r="445">
      <c r="A445" s="3" t="s">
        <v>785</v>
      </c>
      <c r="B445" s="4" t="s">
        <v>87</v>
      </c>
      <c r="C445" s="5">
        <v>106567.0</v>
      </c>
      <c r="D445" s="8" t="str">
        <f>+33.412717°</f>
        <v>#ERROR!</v>
      </c>
      <c r="E445" s="7" t="s">
        <v>883</v>
      </c>
    </row>
    <row r="446">
      <c r="A446" s="3" t="s">
        <v>785</v>
      </c>
      <c r="B446" s="4" t="s">
        <v>884</v>
      </c>
      <c r="C446" s="5">
        <v>96317.0</v>
      </c>
      <c r="D446" s="8" t="str">
        <f>+34.263677°</f>
        <v>#ERROR!</v>
      </c>
      <c r="E446" s="7" t="s">
        <v>885</v>
      </c>
    </row>
    <row r="447">
      <c r="A447" s="3" t="s">
        <v>785</v>
      </c>
      <c r="B447" s="4" t="s">
        <v>886</v>
      </c>
      <c r="C447" s="5">
        <v>175511.0</v>
      </c>
      <c r="D447" s="8" t="str">
        <f>+34.225143°</f>
        <v>#ERROR!</v>
      </c>
      <c r="E447" s="7" t="s">
        <v>887</v>
      </c>
    </row>
    <row r="448">
      <c r="A448" s="3" t="s">
        <v>785</v>
      </c>
      <c r="B448" s="4" t="s">
        <v>90</v>
      </c>
      <c r="C448" s="5">
        <v>22084.0</v>
      </c>
      <c r="D448" s="8" t="str">
        <f>+34.375155°</f>
        <v>#ERROR!</v>
      </c>
      <c r="E448" s="7" t="s">
        <v>888</v>
      </c>
    </row>
    <row r="449">
      <c r="A449" s="3" t="s">
        <v>785</v>
      </c>
      <c r="B449" s="4" t="s">
        <v>317</v>
      </c>
      <c r="C449" s="5">
        <v>920581.0</v>
      </c>
      <c r="D449" s="8" t="str">
        <f>+33.790034°</f>
        <v>#ERROR!</v>
      </c>
      <c r="E449" s="7" t="s">
        <v>889</v>
      </c>
    </row>
    <row r="450">
      <c r="A450" s="3" t="s">
        <v>785</v>
      </c>
      <c r="B450" s="4" t="s">
        <v>890</v>
      </c>
      <c r="C450" s="5">
        <v>28292.0</v>
      </c>
      <c r="D450" s="8" t="str">
        <f>+34.690541°</f>
        <v>#ERROR!</v>
      </c>
      <c r="E450" s="7" t="s">
        <v>891</v>
      </c>
    </row>
    <row r="451">
      <c r="A451" s="3" t="s">
        <v>785</v>
      </c>
      <c r="B451" s="4" t="s">
        <v>892</v>
      </c>
      <c r="C451" s="5">
        <v>3082.0</v>
      </c>
      <c r="D451" s="8" t="str">
        <f>+33.227491°</f>
        <v>#ERROR!</v>
      </c>
      <c r="E451" s="7" t="s">
        <v>893</v>
      </c>
    </row>
    <row r="452">
      <c r="A452" s="3" t="s">
        <v>785</v>
      </c>
      <c r="B452" s="4" t="s">
        <v>894</v>
      </c>
      <c r="C452" s="5">
        <v>79626.0</v>
      </c>
      <c r="D452" s="8" t="str">
        <f>+31.212747°</f>
        <v>#ERROR!</v>
      </c>
      <c r="E452" s="7" t="s">
        <v>895</v>
      </c>
    </row>
    <row r="453">
      <c r="A453" s="3" t="s">
        <v>785</v>
      </c>
      <c r="B453" s="4" t="s">
        <v>896</v>
      </c>
      <c r="C453" s="5">
        <v>55186.0</v>
      </c>
      <c r="D453" s="8" t="str">
        <f>+34.509667°</f>
        <v>#ERROR!</v>
      </c>
      <c r="E453" s="7" t="s">
        <v>897</v>
      </c>
    </row>
    <row r="454">
      <c r="A454" s="3" t="s">
        <v>785</v>
      </c>
      <c r="B454" s="4" t="s">
        <v>898</v>
      </c>
      <c r="C454" s="5">
        <v>25011.0</v>
      </c>
      <c r="D454" s="8" t="str">
        <f>+30.875863°</f>
        <v>#ERROR!</v>
      </c>
      <c r="E454" s="7" t="s">
        <v>899</v>
      </c>
    </row>
    <row r="455">
      <c r="A455" s="3" t="s">
        <v>785</v>
      </c>
      <c r="B455" s="4" t="s">
        <v>96</v>
      </c>
      <c r="C455" s="5">
        <v>15994.0</v>
      </c>
      <c r="D455" s="8" t="str">
        <f>+33.576836°</f>
        <v>#ERROR!</v>
      </c>
      <c r="E455" s="7" t="s">
        <v>900</v>
      </c>
    </row>
    <row r="456">
      <c r="A456" s="3" t="s">
        <v>785</v>
      </c>
      <c r="B456" s="4" t="s">
        <v>901</v>
      </c>
      <c r="C456" s="5">
        <v>805321.0</v>
      </c>
      <c r="D456" s="8" t="str">
        <f>+33.959101°</f>
        <v>#ERROR!</v>
      </c>
      <c r="E456" s="7" t="s">
        <v>902</v>
      </c>
    </row>
    <row r="457">
      <c r="A457" s="3" t="s">
        <v>785</v>
      </c>
      <c r="B457" s="4" t="s">
        <v>903</v>
      </c>
      <c r="C457" s="5">
        <v>43041.0</v>
      </c>
      <c r="D457" s="8" t="str">
        <f>+34.635108°</f>
        <v>#ERROR!</v>
      </c>
      <c r="E457" s="7" t="s">
        <v>904</v>
      </c>
    </row>
    <row r="458">
      <c r="A458" s="3" t="s">
        <v>785</v>
      </c>
      <c r="B458" s="4" t="s">
        <v>905</v>
      </c>
      <c r="C458" s="5">
        <v>179684.0</v>
      </c>
      <c r="D458" s="8" t="str">
        <f>+34.317588°</f>
        <v>#ERROR!</v>
      </c>
      <c r="E458" s="7" t="s">
        <v>906</v>
      </c>
    </row>
    <row r="459">
      <c r="A459" s="3" t="s">
        <v>785</v>
      </c>
      <c r="B459" s="4" t="s">
        <v>907</v>
      </c>
      <c r="C459" s="5">
        <v>9429.0</v>
      </c>
      <c r="D459" s="8" t="str">
        <f>+33.269220°</f>
        <v>#ERROR!</v>
      </c>
      <c r="E459" s="7" t="s">
        <v>908</v>
      </c>
    </row>
    <row r="460">
      <c r="A460" s="3" t="s">
        <v>785</v>
      </c>
      <c r="B460" s="4" t="s">
        <v>909</v>
      </c>
      <c r="C460" s="5">
        <v>28780.0</v>
      </c>
      <c r="D460" s="8" t="str">
        <f>+33.795165°</f>
        <v>#ERROR!</v>
      </c>
      <c r="E460" s="7" t="s">
        <v>910</v>
      </c>
    </row>
    <row r="461">
      <c r="A461" s="3" t="s">
        <v>785</v>
      </c>
      <c r="B461" s="4" t="s">
        <v>911</v>
      </c>
      <c r="C461" s="5">
        <v>32024.0</v>
      </c>
      <c r="D461" s="8" t="str">
        <f>+32.731549°</f>
        <v>#ERROR!</v>
      </c>
      <c r="E461" s="7" t="s">
        <v>912</v>
      </c>
    </row>
    <row r="462">
      <c r="A462" s="3" t="s">
        <v>785</v>
      </c>
      <c r="B462" s="4" t="s">
        <v>913</v>
      </c>
      <c r="C462" s="5">
        <v>25213.0</v>
      </c>
      <c r="D462" s="8" t="str">
        <f>+34.348733°</f>
        <v>#ERROR!</v>
      </c>
      <c r="E462" s="7" t="s">
        <v>914</v>
      </c>
    </row>
    <row r="463">
      <c r="A463" s="3" t="s">
        <v>785</v>
      </c>
      <c r="B463" s="4" t="s">
        <v>915</v>
      </c>
      <c r="C463" s="5">
        <v>11834.0</v>
      </c>
      <c r="D463" s="8" t="str">
        <f>+33.290968°</f>
        <v>#ERROR!</v>
      </c>
      <c r="E463" s="7" t="s">
        <v>916</v>
      </c>
    </row>
    <row r="464">
      <c r="A464" s="3" t="s">
        <v>785</v>
      </c>
      <c r="B464" s="4" t="s">
        <v>102</v>
      </c>
      <c r="C464" s="5">
        <v>203922.0</v>
      </c>
      <c r="D464" s="8" t="str">
        <f>+33.452881°</f>
        <v>#ERROR!</v>
      </c>
      <c r="E464" s="7" t="s">
        <v>917</v>
      </c>
    </row>
    <row r="465">
      <c r="A465" s="3" t="s">
        <v>785</v>
      </c>
      <c r="B465" s="4" t="s">
        <v>105</v>
      </c>
      <c r="C465" s="5">
        <v>139900.0</v>
      </c>
      <c r="D465" s="8" t="str">
        <f>+32.458381°</f>
        <v>#ERROR!</v>
      </c>
      <c r="E465" s="7" t="s">
        <v>918</v>
      </c>
    </row>
    <row r="466">
      <c r="A466" s="3" t="s">
        <v>785</v>
      </c>
      <c r="B466" s="4" t="s">
        <v>919</v>
      </c>
      <c r="C466" s="5">
        <v>9538.0</v>
      </c>
      <c r="D466" s="8" t="str">
        <f>+31.604306°</f>
        <v>#ERROR!</v>
      </c>
      <c r="E466" s="7" t="s">
        <v>920</v>
      </c>
    </row>
    <row r="467">
      <c r="A467" s="3" t="s">
        <v>785</v>
      </c>
      <c r="B467" s="4" t="s">
        <v>108</v>
      </c>
      <c r="C467" s="5">
        <v>60485.0</v>
      </c>
      <c r="D467" s="8" t="str">
        <f>+34.134157°</f>
        <v>#ERROR!</v>
      </c>
      <c r="E467" s="7" t="s">
        <v>921</v>
      </c>
    </row>
    <row r="468">
      <c r="A468" s="3" t="s">
        <v>785</v>
      </c>
      <c r="B468" s="4" t="s">
        <v>922</v>
      </c>
      <c r="C468" s="5">
        <v>13900.0</v>
      </c>
      <c r="D468" s="8" t="str">
        <f>+33.314905°</f>
        <v>#ERROR!</v>
      </c>
      <c r="E468" s="7" t="s">
        <v>923</v>
      </c>
    </row>
    <row r="469">
      <c r="A469" s="3" t="s">
        <v>785</v>
      </c>
      <c r="B469" s="4" t="s">
        <v>924</v>
      </c>
      <c r="C469" s="5">
        <v>15068.0</v>
      </c>
      <c r="D469" s="8" t="str">
        <f>+31.811615°</f>
        <v>#ERROR!</v>
      </c>
      <c r="E469" s="7" t="s">
        <v>925</v>
      </c>
    </row>
    <row r="470">
      <c r="A470" s="3" t="s">
        <v>785</v>
      </c>
      <c r="B470" s="4" t="s">
        <v>111</v>
      </c>
      <c r="C470" s="5">
        <v>16930.0</v>
      </c>
      <c r="D470" s="8" t="str">
        <f>+33.051874°</f>
        <v>#ERROR!</v>
      </c>
      <c r="E470" s="7" t="s">
        <v>926</v>
      </c>
    </row>
    <row r="471">
      <c r="A471" s="3" t="s">
        <v>785</v>
      </c>
      <c r="B471" s="4" t="s">
        <v>927</v>
      </c>
      <c r="C471" s="5">
        <v>8340.0</v>
      </c>
      <c r="D471" s="8" t="str">
        <f>+32.794563°</f>
        <v>#ERROR!</v>
      </c>
      <c r="E471" s="7" t="s">
        <v>928</v>
      </c>
    </row>
    <row r="472">
      <c r="A472" s="3" t="s">
        <v>785</v>
      </c>
      <c r="B472" s="4" t="s">
        <v>336</v>
      </c>
      <c r="C472" s="5">
        <v>9980.0</v>
      </c>
      <c r="D472" s="8" t="str">
        <f>+32.689831°</f>
        <v>#ERROR!</v>
      </c>
      <c r="E472" s="7" t="s">
        <v>929</v>
      </c>
    </row>
    <row r="473">
      <c r="A473" s="3" t="s">
        <v>785</v>
      </c>
      <c r="B473" s="4" t="s">
        <v>930</v>
      </c>
      <c r="C473" s="5">
        <v>28669.0</v>
      </c>
      <c r="D473" s="8" t="str">
        <f>+33.020226°</f>
        <v>#ERROR!</v>
      </c>
      <c r="E473" s="7" t="s">
        <v>931</v>
      </c>
    </row>
    <row r="474">
      <c r="A474" s="3" t="s">
        <v>785</v>
      </c>
      <c r="B474" s="4" t="s">
        <v>114</v>
      </c>
      <c r="C474" s="5">
        <v>18317.0</v>
      </c>
      <c r="D474" s="8" t="str">
        <f>+33.074460°</f>
        <v>#ERROR!</v>
      </c>
      <c r="E474" s="7" t="s">
        <v>932</v>
      </c>
    </row>
    <row r="475">
      <c r="A475" s="3" t="s">
        <v>785</v>
      </c>
      <c r="B475" s="4" t="s">
        <v>933</v>
      </c>
      <c r="C475" s="5">
        <v>10078.0</v>
      </c>
      <c r="D475" s="8" t="str">
        <f>+31.038197°</f>
        <v>#ERROR!</v>
      </c>
      <c r="E475" s="7" t="s">
        <v>934</v>
      </c>
    </row>
    <row r="476">
      <c r="A476" s="3" t="s">
        <v>785</v>
      </c>
      <c r="B476" s="4" t="s">
        <v>935</v>
      </c>
      <c r="C476" s="5">
        <v>48434.0</v>
      </c>
      <c r="D476" s="8" t="str">
        <f>+32.393220°</f>
        <v>#ERROR!</v>
      </c>
      <c r="E476" s="7" t="s">
        <v>936</v>
      </c>
    </row>
    <row r="477">
      <c r="A477" s="3" t="s">
        <v>785</v>
      </c>
      <c r="B477" s="4" t="s">
        <v>123</v>
      </c>
      <c r="C477" s="5">
        <v>28298.0</v>
      </c>
      <c r="D477" s="8" t="str">
        <f>+31.818419°</f>
        <v>#ERROR!</v>
      </c>
      <c r="E477" s="7" t="s">
        <v>937</v>
      </c>
    </row>
    <row r="478">
      <c r="A478" s="3" t="s">
        <v>785</v>
      </c>
      <c r="B478" s="4" t="s">
        <v>733</v>
      </c>
      <c r="C478" s="5">
        <v>63453.0</v>
      </c>
      <c r="D478" s="8" t="str">
        <f>+31.807245°</f>
        <v>#ERROR!</v>
      </c>
      <c r="E478" s="7" t="s">
        <v>938</v>
      </c>
    </row>
    <row r="479">
      <c r="A479" s="3" t="s">
        <v>785</v>
      </c>
      <c r="B479" s="4" t="s">
        <v>342</v>
      </c>
      <c r="C479" s="5">
        <v>7996.0</v>
      </c>
      <c r="D479" s="8" t="str">
        <f>+33.792151°</f>
        <v>#ERROR!</v>
      </c>
      <c r="E479" s="7" t="s">
        <v>939</v>
      </c>
    </row>
    <row r="480">
      <c r="A480" s="3" t="s">
        <v>785</v>
      </c>
      <c r="B480" s="4" t="s">
        <v>940</v>
      </c>
      <c r="C480" s="5">
        <v>14464.0</v>
      </c>
      <c r="D480" s="8" t="str">
        <f>+31.749563°</f>
        <v>#ERROR!</v>
      </c>
      <c r="E480" s="7" t="s">
        <v>941</v>
      </c>
    </row>
    <row r="481">
      <c r="A481" s="3" t="s">
        <v>785</v>
      </c>
      <c r="B481" s="4" t="s">
        <v>129</v>
      </c>
      <c r="C481" s="5">
        <v>109233.0</v>
      </c>
      <c r="D481" s="8" t="str">
        <f>+30.833680°</f>
        <v>#ERROR!</v>
      </c>
      <c r="E481" s="7" t="s">
        <v>942</v>
      </c>
    </row>
    <row r="482">
      <c r="A482" s="3" t="s">
        <v>785</v>
      </c>
      <c r="B482" s="4" t="s">
        <v>943</v>
      </c>
      <c r="C482" s="5">
        <v>29966.0</v>
      </c>
      <c r="D482" s="8" t="str">
        <f>+34.568149°</f>
        <v>#ERROR!</v>
      </c>
      <c r="E482" s="7" t="s">
        <v>944</v>
      </c>
    </row>
    <row r="483">
      <c r="A483" s="3" t="s">
        <v>785</v>
      </c>
      <c r="B483" s="4" t="s">
        <v>945</v>
      </c>
      <c r="C483" s="5">
        <v>21875.0</v>
      </c>
      <c r="D483" s="8" t="str">
        <f>+33.482464°</f>
        <v>#ERROR!</v>
      </c>
      <c r="E483" s="7" t="s">
        <v>946</v>
      </c>
    </row>
    <row r="484">
      <c r="A484" s="3" t="s">
        <v>785</v>
      </c>
      <c r="B484" s="4" t="s">
        <v>947</v>
      </c>
      <c r="C484" s="5">
        <v>14333.0</v>
      </c>
      <c r="D484" s="8" t="str">
        <f>+31.482978°</f>
        <v>#ERROR!</v>
      </c>
      <c r="E484" s="7" t="s">
        <v>948</v>
      </c>
    </row>
    <row r="485">
      <c r="A485" s="3" t="s">
        <v>785</v>
      </c>
      <c r="B485" s="4" t="s">
        <v>132</v>
      </c>
      <c r="C485" s="5">
        <v>14740.0</v>
      </c>
      <c r="D485" s="8" t="str">
        <f>+32.366216°</f>
        <v>#ERROR!</v>
      </c>
      <c r="E485" s="7" t="s">
        <v>949</v>
      </c>
    </row>
    <row r="486">
      <c r="A486" s="3" t="s">
        <v>785</v>
      </c>
      <c r="B486" s="4" t="s">
        <v>135</v>
      </c>
      <c r="C486" s="5">
        <v>28120.0</v>
      </c>
      <c r="D486" s="8" t="str">
        <f>+34.128486°</f>
        <v>#ERROR!</v>
      </c>
      <c r="E486" s="7" t="s">
        <v>950</v>
      </c>
    </row>
    <row r="487">
      <c r="A487" s="3" t="s">
        <v>785</v>
      </c>
      <c r="B487" s="4" t="s">
        <v>141</v>
      </c>
      <c r="C487" s="5">
        <v>8742.0</v>
      </c>
      <c r="D487" s="8" t="str">
        <f>+32.359538°</f>
        <v>#ERROR!</v>
      </c>
      <c r="E487" s="7" t="s">
        <v>951</v>
      </c>
    </row>
    <row r="488">
      <c r="A488" s="3" t="s">
        <v>785</v>
      </c>
      <c r="B488" s="4" t="s">
        <v>952</v>
      </c>
      <c r="C488" s="5">
        <v>21992.0</v>
      </c>
      <c r="D488" s="8" t="str">
        <f>+33.030220°</f>
        <v>#ERROR!</v>
      </c>
      <c r="E488" s="7" t="s">
        <v>953</v>
      </c>
    </row>
    <row r="489">
      <c r="A489" s="3" t="s">
        <v>785</v>
      </c>
      <c r="B489" s="4" t="s">
        <v>352</v>
      </c>
      <c r="C489" s="5">
        <v>6125.0</v>
      </c>
      <c r="D489" s="8" t="str">
        <f>+31.162908°</f>
        <v>#ERROR!</v>
      </c>
      <c r="E489" s="7" t="s">
        <v>954</v>
      </c>
    </row>
    <row r="490">
      <c r="A490" s="3" t="s">
        <v>785</v>
      </c>
      <c r="B490" s="4" t="s">
        <v>955</v>
      </c>
      <c r="C490" s="5">
        <v>23498.0</v>
      </c>
      <c r="D490" s="8" t="str">
        <f>+31.228940°</f>
        <v>#ERROR!</v>
      </c>
      <c r="E490" s="7" t="s">
        <v>956</v>
      </c>
    </row>
    <row r="491">
      <c r="A491" s="3" t="s">
        <v>785</v>
      </c>
      <c r="B491" s="4" t="s">
        <v>147</v>
      </c>
      <c r="C491" s="5">
        <v>26424.0</v>
      </c>
      <c r="D491" s="8" t="str">
        <f>+33.017435°</f>
        <v>#ERROR!</v>
      </c>
      <c r="E491" s="7" t="s">
        <v>957</v>
      </c>
    </row>
    <row r="492">
      <c r="A492" s="3" t="s">
        <v>785</v>
      </c>
      <c r="B492" s="4" t="s">
        <v>149</v>
      </c>
      <c r="C492" s="5">
        <v>9123.0</v>
      </c>
      <c r="D492" s="8" t="str">
        <f>+32.172108°</f>
        <v>#ERROR!</v>
      </c>
      <c r="E492" s="7" t="s">
        <v>958</v>
      </c>
    </row>
    <row r="493">
      <c r="A493" s="3" t="s">
        <v>785</v>
      </c>
      <c r="B493" s="4" t="s">
        <v>151</v>
      </c>
      <c r="C493" s="5">
        <v>17868.0</v>
      </c>
      <c r="D493" s="8" t="str">
        <f>+33.593732°</f>
        <v>#ERROR!</v>
      </c>
      <c r="E493" s="7" t="s">
        <v>959</v>
      </c>
    </row>
    <row r="494">
      <c r="A494" s="3" t="s">
        <v>785</v>
      </c>
      <c r="B494" s="4" t="s">
        <v>960</v>
      </c>
      <c r="C494" s="5">
        <v>39628.0</v>
      </c>
      <c r="D494" s="8" t="str">
        <f>+34.797097°</f>
        <v>#ERROR!</v>
      </c>
      <c r="E494" s="7" t="s">
        <v>961</v>
      </c>
    </row>
    <row r="495">
      <c r="A495" s="3" t="s">
        <v>785</v>
      </c>
      <c r="B495" s="4" t="s">
        <v>962</v>
      </c>
      <c r="C495" s="5">
        <v>189885.0</v>
      </c>
      <c r="D495" s="8" t="str">
        <f>+32.510197°</f>
        <v>#ERROR!</v>
      </c>
      <c r="E495" s="7" t="s">
        <v>963</v>
      </c>
    </row>
    <row r="496">
      <c r="A496" s="3" t="s">
        <v>785</v>
      </c>
      <c r="B496" s="4" t="s">
        <v>360</v>
      </c>
      <c r="C496" s="5">
        <v>99958.0</v>
      </c>
      <c r="D496" s="8" t="str">
        <f>+33.544046°</f>
        <v>#ERROR!</v>
      </c>
      <c r="E496" s="7" t="s">
        <v>964</v>
      </c>
    </row>
    <row r="497">
      <c r="A497" s="3" t="s">
        <v>785</v>
      </c>
      <c r="B497" s="4" t="s">
        <v>965</v>
      </c>
      <c r="C497" s="5">
        <v>32808.0</v>
      </c>
      <c r="D497" s="8" t="str">
        <f>+33.834125°</f>
        <v>#ERROR!</v>
      </c>
      <c r="E497" s="7" t="s">
        <v>966</v>
      </c>
    </row>
    <row r="498">
      <c r="A498" s="3" t="s">
        <v>785</v>
      </c>
      <c r="B498" s="4" t="s">
        <v>967</v>
      </c>
      <c r="C498" s="5">
        <v>14899.0</v>
      </c>
      <c r="D498" s="8" t="str">
        <f>+33.866806°</f>
        <v>#ERROR!</v>
      </c>
      <c r="E498" s="7" t="s">
        <v>968</v>
      </c>
    </row>
    <row r="499">
      <c r="A499" s="3" t="s">
        <v>785</v>
      </c>
      <c r="B499" s="4" t="s">
        <v>969</v>
      </c>
      <c r="C499" s="5">
        <v>142324.0</v>
      </c>
      <c r="D499" s="8" t="str">
        <f>+33.920903°</f>
        <v>#ERROR!</v>
      </c>
      <c r="E499" s="7" t="s">
        <v>970</v>
      </c>
    </row>
    <row r="500">
      <c r="A500" s="3" t="s">
        <v>785</v>
      </c>
      <c r="B500" s="4" t="s">
        <v>971</v>
      </c>
      <c r="C500" s="5">
        <v>27695.0</v>
      </c>
      <c r="D500" s="8" t="str">
        <f>+32.571324°</f>
        <v>#ERROR!</v>
      </c>
      <c r="E500" s="7" t="s">
        <v>972</v>
      </c>
    </row>
    <row r="501">
      <c r="A501" s="3" t="s">
        <v>785</v>
      </c>
      <c r="B501" s="4" t="s">
        <v>155</v>
      </c>
      <c r="C501" s="5">
        <v>29431.0</v>
      </c>
      <c r="D501" s="8" t="str">
        <f>+34.456621°</f>
        <v>#ERROR!</v>
      </c>
      <c r="E501" s="7" t="s">
        <v>973</v>
      </c>
    </row>
    <row r="502">
      <c r="A502" s="3" t="s">
        <v>785</v>
      </c>
      <c r="B502" s="4" t="s">
        <v>974</v>
      </c>
      <c r="C502" s="5">
        <v>18758.0</v>
      </c>
      <c r="D502" s="8" t="str">
        <f>+31.353988°</f>
        <v>#ERROR!</v>
      </c>
      <c r="E502" s="7" t="s">
        <v>975</v>
      </c>
    </row>
    <row r="503">
      <c r="A503" s="3" t="s">
        <v>785</v>
      </c>
      <c r="B503" s="4" t="s">
        <v>157</v>
      </c>
      <c r="C503" s="5">
        <v>17869.0</v>
      </c>
      <c r="D503" s="8" t="str">
        <f>+33.090769°</f>
        <v>#ERROR!</v>
      </c>
      <c r="E503" s="7" t="s">
        <v>976</v>
      </c>
    </row>
    <row r="504">
      <c r="A504" s="3" t="s">
        <v>785</v>
      </c>
      <c r="B504" s="4" t="s">
        <v>370</v>
      </c>
      <c r="C504" s="5">
        <v>41475.0</v>
      </c>
      <c r="D504" s="8" t="str">
        <f>+33.995961°</f>
        <v>#ERROR!</v>
      </c>
      <c r="E504" s="7" t="s">
        <v>977</v>
      </c>
    </row>
    <row r="505">
      <c r="A505" s="3" t="s">
        <v>785</v>
      </c>
      <c r="B505" s="4" t="s">
        <v>376</v>
      </c>
      <c r="C505" s="5">
        <v>12010.0</v>
      </c>
      <c r="D505" s="8" t="str">
        <f>+32.238794°</f>
        <v>#ERROR!</v>
      </c>
      <c r="E505" s="7" t="s">
        <v>978</v>
      </c>
    </row>
    <row r="506">
      <c r="A506" s="3" t="s">
        <v>785</v>
      </c>
      <c r="B506" s="4" t="s">
        <v>760</v>
      </c>
      <c r="C506" s="5">
        <v>21218.0</v>
      </c>
      <c r="D506" s="8" t="str">
        <f>+33.321061°</f>
        <v>#ERROR!</v>
      </c>
      <c r="E506" s="7" t="s">
        <v>979</v>
      </c>
    </row>
    <row r="507">
      <c r="A507" s="3" t="s">
        <v>785</v>
      </c>
      <c r="B507" s="4" t="s">
        <v>980</v>
      </c>
      <c r="C507" s="5">
        <v>2513.0</v>
      </c>
      <c r="D507" s="8" t="str">
        <f>+31.861487°</f>
        <v>#ERROR!</v>
      </c>
      <c r="E507" s="7" t="s">
        <v>981</v>
      </c>
    </row>
    <row r="508">
      <c r="A508" s="3" t="s">
        <v>785</v>
      </c>
      <c r="B508" s="4" t="s">
        <v>982</v>
      </c>
      <c r="C508" s="5">
        <v>16276.0</v>
      </c>
      <c r="D508" s="8" t="str">
        <f>+34.883026°</f>
        <v>#ERROR!</v>
      </c>
      <c r="E508" s="7" t="s">
        <v>983</v>
      </c>
    </row>
    <row r="509">
      <c r="A509" s="3" t="s">
        <v>785</v>
      </c>
      <c r="B509" s="4" t="s">
        <v>159</v>
      </c>
      <c r="C509" s="5">
        <v>7719.0</v>
      </c>
      <c r="D509" s="8" t="str">
        <f>+31.762651°</f>
        <v>#ERROR!</v>
      </c>
      <c r="E509" s="7" t="s">
        <v>984</v>
      </c>
    </row>
    <row r="510">
      <c r="A510" s="3" t="s">
        <v>785</v>
      </c>
      <c r="B510" s="4" t="s">
        <v>985</v>
      </c>
      <c r="C510" s="5">
        <v>200549.0</v>
      </c>
      <c r="D510" s="8" t="str">
        <f>+33.361487°</f>
        <v>#ERROR!</v>
      </c>
      <c r="E510" s="7" t="s">
        <v>986</v>
      </c>
    </row>
    <row r="511">
      <c r="A511" s="3" t="s">
        <v>785</v>
      </c>
      <c r="B511" s="4" t="s">
        <v>987</v>
      </c>
      <c r="C511" s="5">
        <v>85215.0</v>
      </c>
      <c r="D511" s="8" t="str">
        <f>+33.652081°</f>
        <v>#ERROR!</v>
      </c>
      <c r="E511" s="7" t="s">
        <v>988</v>
      </c>
    </row>
    <row r="512">
      <c r="A512" s="3" t="s">
        <v>785</v>
      </c>
      <c r="B512" s="4" t="s">
        <v>989</v>
      </c>
      <c r="C512" s="5">
        <v>5010.0</v>
      </c>
      <c r="D512" s="8" t="str">
        <f>+32.263441°</f>
        <v>#ERROR!</v>
      </c>
      <c r="E512" s="7" t="s">
        <v>990</v>
      </c>
    </row>
    <row r="513">
      <c r="A513" s="3" t="s">
        <v>785</v>
      </c>
      <c r="B513" s="4" t="s">
        <v>991</v>
      </c>
      <c r="C513" s="5">
        <v>14593.0</v>
      </c>
      <c r="D513" s="8" t="str">
        <f>+32.744751°</f>
        <v>#ERROR!</v>
      </c>
      <c r="E513" s="7" t="s">
        <v>992</v>
      </c>
    </row>
    <row r="514">
      <c r="A514" s="3" t="s">
        <v>785</v>
      </c>
      <c r="B514" s="4" t="s">
        <v>770</v>
      </c>
      <c r="C514" s="5">
        <v>8729.0</v>
      </c>
      <c r="D514" s="8" t="str">
        <f>+30.933894°</f>
        <v>#ERROR!</v>
      </c>
      <c r="E514" s="7" t="s">
        <v>993</v>
      </c>
    </row>
    <row r="515">
      <c r="A515" s="3" t="s">
        <v>785</v>
      </c>
      <c r="B515" s="4" t="s">
        <v>994</v>
      </c>
      <c r="C515" s="5">
        <v>64073.0</v>
      </c>
      <c r="D515" s="8" t="str">
        <f>+33.262389°</f>
        <v>#ERROR!</v>
      </c>
      <c r="E515" s="7" t="s">
        <v>995</v>
      </c>
    </row>
    <row r="516">
      <c r="A516" s="3" t="s">
        <v>785</v>
      </c>
      <c r="B516" s="4" t="s">
        <v>996</v>
      </c>
      <c r="C516" s="5">
        <v>26175.0</v>
      </c>
      <c r="D516" s="8" t="str">
        <f>+34.552914°</f>
        <v>#ERROR!</v>
      </c>
      <c r="E516" s="7" t="s">
        <v>997</v>
      </c>
    </row>
    <row r="517">
      <c r="A517" s="3" t="s">
        <v>785</v>
      </c>
      <c r="B517" s="4" t="s">
        <v>998</v>
      </c>
      <c r="C517" s="5">
        <v>6058.0</v>
      </c>
      <c r="D517" s="8" t="str">
        <f>+32.073225°</f>
        <v>#ERROR!</v>
      </c>
      <c r="E517" s="7" t="s">
        <v>999</v>
      </c>
    </row>
    <row r="518">
      <c r="A518" s="3" t="s">
        <v>785</v>
      </c>
      <c r="B518" s="4" t="s">
        <v>167</v>
      </c>
      <c r="C518" s="5">
        <v>32819.0</v>
      </c>
      <c r="D518" s="8" t="str">
        <f>+32.042203°</f>
        <v>#ERROR!</v>
      </c>
      <c r="E518" s="7" t="s">
        <v>1000</v>
      </c>
    </row>
    <row r="519">
      <c r="A519" s="3" t="s">
        <v>785</v>
      </c>
      <c r="B519" s="4" t="s">
        <v>1001</v>
      </c>
      <c r="C519" s="5">
        <v>6865.0</v>
      </c>
      <c r="D519" s="8" t="str">
        <f>+32.704603°</f>
        <v>#ERROR!</v>
      </c>
      <c r="E519" s="7" t="s">
        <v>1002</v>
      </c>
    </row>
    <row r="520">
      <c r="A520" s="3" t="s">
        <v>785</v>
      </c>
      <c r="B520" s="4" t="s">
        <v>1003</v>
      </c>
      <c r="C520" s="5">
        <v>1717.0</v>
      </c>
      <c r="D520" s="8" t="str">
        <f>+33.559314°</f>
        <v>#ERROR!</v>
      </c>
      <c r="E520" s="7" t="s">
        <v>1004</v>
      </c>
    </row>
    <row r="521">
      <c r="A521" s="3" t="s">
        <v>785</v>
      </c>
      <c r="B521" s="4" t="s">
        <v>1005</v>
      </c>
      <c r="C521" s="5">
        <v>25520.0</v>
      </c>
      <c r="D521" s="8" t="str">
        <f>+32.043768°</f>
        <v>#ERROR!</v>
      </c>
      <c r="E521" s="7" t="s">
        <v>1006</v>
      </c>
    </row>
    <row r="522">
      <c r="A522" s="3" t="s">
        <v>785</v>
      </c>
      <c r="B522" s="4" t="s">
        <v>775</v>
      </c>
      <c r="C522" s="5">
        <v>8906.0</v>
      </c>
      <c r="D522" s="8" t="str">
        <f>+32.554667°</f>
        <v>#ERROR!</v>
      </c>
      <c r="E522" s="7" t="s">
        <v>1007</v>
      </c>
    </row>
    <row r="523">
      <c r="A523" s="3" t="s">
        <v>785</v>
      </c>
      <c r="B523" s="4" t="s">
        <v>1008</v>
      </c>
      <c r="C523" s="5">
        <v>16500.0</v>
      </c>
      <c r="D523" s="8" t="str">
        <f>+31.913639°</f>
        <v>#ERROR!</v>
      </c>
      <c r="E523" s="7" t="s">
        <v>1009</v>
      </c>
    </row>
    <row r="524">
      <c r="A524" s="3" t="s">
        <v>785</v>
      </c>
      <c r="B524" s="4" t="s">
        <v>1010</v>
      </c>
      <c r="C524" s="5">
        <v>9315.0</v>
      </c>
      <c r="D524" s="8" t="str">
        <f>+31.777191°</f>
        <v>#ERROR!</v>
      </c>
      <c r="E524" s="7" t="s">
        <v>1011</v>
      </c>
    </row>
    <row r="525">
      <c r="A525" s="3" t="s">
        <v>785</v>
      </c>
      <c r="B525" s="4" t="s">
        <v>1012</v>
      </c>
      <c r="C525" s="5">
        <v>44720.0</v>
      </c>
      <c r="D525" s="8" t="str">
        <f>+30.864616°</f>
        <v>#ERROR!</v>
      </c>
      <c r="E525" s="7" t="s">
        <v>1013</v>
      </c>
    </row>
    <row r="526">
      <c r="A526" s="3" t="s">
        <v>785</v>
      </c>
      <c r="B526" s="4" t="s">
        <v>1014</v>
      </c>
      <c r="C526" s="5">
        <v>40118.0</v>
      </c>
      <c r="D526" s="8" t="str">
        <f>+31.457003°</f>
        <v>#ERROR!</v>
      </c>
      <c r="E526" s="7" t="s">
        <v>1015</v>
      </c>
    </row>
    <row r="527">
      <c r="A527" s="3" t="s">
        <v>785</v>
      </c>
      <c r="B527" s="4" t="s">
        <v>1016</v>
      </c>
      <c r="C527" s="5">
        <v>27223.0</v>
      </c>
      <c r="D527" s="8" t="str">
        <f>+32.126698°</f>
        <v>#ERROR!</v>
      </c>
      <c r="E527" s="7" t="s">
        <v>1017</v>
      </c>
    </row>
    <row r="528">
      <c r="A528" s="3" t="s">
        <v>785</v>
      </c>
      <c r="B528" s="4" t="s">
        <v>1018</v>
      </c>
      <c r="C528" s="5">
        <v>10471.0</v>
      </c>
      <c r="D528" s="8" t="str">
        <f>+34.902650°</f>
        <v>#ERROR!</v>
      </c>
      <c r="E528" s="7" t="s">
        <v>1019</v>
      </c>
    </row>
    <row r="529">
      <c r="A529" s="3" t="s">
        <v>785</v>
      </c>
      <c r="B529" s="4" t="s">
        <v>1020</v>
      </c>
      <c r="C529" s="5">
        <v>6885.0</v>
      </c>
      <c r="D529" s="8" t="str">
        <f>+32.409586°</f>
        <v>#ERROR!</v>
      </c>
      <c r="E529" s="7" t="s">
        <v>1021</v>
      </c>
    </row>
    <row r="530">
      <c r="A530" s="3" t="s">
        <v>785</v>
      </c>
      <c r="B530" s="4" t="s">
        <v>1022</v>
      </c>
      <c r="C530" s="5">
        <v>67044.0</v>
      </c>
      <c r="D530" s="8" t="str">
        <f>+33.034482°</f>
        <v>#ERROR!</v>
      </c>
      <c r="E530" s="7" t="s">
        <v>1023</v>
      </c>
    </row>
    <row r="531">
      <c r="A531" s="3" t="s">
        <v>785</v>
      </c>
      <c r="B531" s="4" t="s">
        <v>1024</v>
      </c>
      <c r="C531" s="5">
        <v>8930.0</v>
      </c>
      <c r="D531" s="8" t="str">
        <f>+31.718232°</f>
        <v>#ERROR!</v>
      </c>
      <c r="E531" s="7" t="s">
        <v>1025</v>
      </c>
    </row>
    <row r="532">
      <c r="A532" s="3" t="s">
        <v>785</v>
      </c>
      <c r="B532" s="4" t="s">
        <v>1026</v>
      </c>
      <c r="C532" s="5">
        <v>9023.0</v>
      </c>
      <c r="D532" s="8" t="str">
        <f>+32.665847°</f>
        <v>#ERROR!</v>
      </c>
      <c r="E532" s="7" t="s">
        <v>1027</v>
      </c>
    </row>
    <row r="533">
      <c r="A533" s="3" t="s">
        <v>785</v>
      </c>
      <c r="B533" s="4" t="s">
        <v>395</v>
      </c>
      <c r="C533" s="5">
        <v>21356.0</v>
      </c>
      <c r="D533" s="8" t="str">
        <f>+34.833770°</f>
        <v>#ERROR!</v>
      </c>
      <c r="E533" s="7" t="s">
        <v>1028</v>
      </c>
    </row>
    <row r="534">
      <c r="A534" s="3" t="s">
        <v>785</v>
      </c>
      <c r="B534" s="4" t="s">
        <v>1029</v>
      </c>
      <c r="C534" s="5">
        <v>27153.0</v>
      </c>
      <c r="D534" s="8" t="str">
        <f>+32.881837°</f>
        <v>#ERROR!</v>
      </c>
      <c r="E534" s="7" t="s">
        <v>1030</v>
      </c>
    </row>
    <row r="535">
      <c r="A535" s="3" t="s">
        <v>785</v>
      </c>
      <c r="B535" s="4" t="s">
        <v>175</v>
      </c>
      <c r="C535" s="5">
        <v>68756.0</v>
      </c>
      <c r="D535" s="8" t="str">
        <f>+34.735827°</f>
        <v>#ERROR!</v>
      </c>
      <c r="E535" s="7" t="s">
        <v>1031</v>
      </c>
    </row>
    <row r="536">
      <c r="A536" s="3" t="s">
        <v>785</v>
      </c>
      <c r="B536" s="4" t="s">
        <v>782</v>
      </c>
      <c r="C536" s="5">
        <v>83768.0</v>
      </c>
      <c r="D536" s="8" t="str">
        <f>+33.782649°</f>
        <v>#ERROR!</v>
      </c>
      <c r="E536" s="7" t="s">
        <v>1032</v>
      </c>
    </row>
    <row r="537">
      <c r="A537" s="3" t="s">
        <v>785</v>
      </c>
      <c r="B537" s="4" t="s">
        <v>1033</v>
      </c>
      <c r="C537" s="5">
        <v>36312.0</v>
      </c>
      <c r="D537" s="8" t="str">
        <f>+31.050881°</f>
        <v>#ERROR!</v>
      </c>
      <c r="E537" s="7" t="s">
        <v>1034</v>
      </c>
    </row>
    <row r="538">
      <c r="A538" s="3" t="s">
        <v>785</v>
      </c>
      <c r="B538" s="4" t="s">
        <v>1035</v>
      </c>
      <c r="C538" s="5">
        <v>5834.0</v>
      </c>
      <c r="D538" s="8" t="str">
        <f>+33.419169°</f>
        <v>#ERROR!</v>
      </c>
      <c r="E538" s="7" t="s">
        <v>1036</v>
      </c>
    </row>
    <row r="539">
      <c r="A539" s="3" t="s">
        <v>785</v>
      </c>
      <c r="B539" s="4" t="s">
        <v>177</v>
      </c>
      <c r="C539" s="5">
        <v>21187.0</v>
      </c>
      <c r="D539" s="8" t="str">
        <f>+32.971848°</f>
        <v>#ERROR!</v>
      </c>
      <c r="E539" s="7" t="s">
        <v>1037</v>
      </c>
    </row>
    <row r="540">
      <c r="A540" s="3" t="s">
        <v>785</v>
      </c>
      <c r="B540" s="4" t="s">
        <v>1038</v>
      </c>
      <c r="C540" s="5">
        <v>30099.0</v>
      </c>
      <c r="D540" s="8" t="str">
        <f>+31.547845°</f>
        <v>#ERROR!</v>
      </c>
      <c r="E540" s="7" t="s">
        <v>1039</v>
      </c>
    </row>
    <row r="541">
      <c r="A541" s="3" t="s">
        <v>785</v>
      </c>
      <c r="B541" s="4" t="s">
        <v>1040</v>
      </c>
      <c r="C541" s="5">
        <v>2799.0</v>
      </c>
      <c r="D541" s="8" t="str">
        <f>+32.046554°</f>
        <v>#ERROR!</v>
      </c>
      <c r="E541" s="7" t="s">
        <v>1041</v>
      </c>
    </row>
    <row r="542">
      <c r="A542" s="3" t="s">
        <v>785</v>
      </c>
      <c r="B542" s="4" t="s">
        <v>1042</v>
      </c>
      <c r="C542" s="5">
        <v>7421.0</v>
      </c>
      <c r="D542" s="8" t="str">
        <f>+32.109276°</f>
        <v>#ERROR!</v>
      </c>
      <c r="E542" s="7" t="s">
        <v>1043</v>
      </c>
    </row>
    <row r="543">
      <c r="A543" s="3" t="s">
        <v>785</v>
      </c>
      <c r="B543" s="4" t="s">
        <v>400</v>
      </c>
      <c r="C543" s="5">
        <v>27144.0</v>
      </c>
      <c r="D543" s="8" t="str">
        <f>+34.643677°</f>
        <v>#ERROR!</v>
      </c>
      <c r="E543" s="7" t="s">
        <v>1044</v>
      </c>
    </row>
    <row r="544">
      <c r="A544" s="3" t="s">
        <v>785</v>
      </c>
      <c r="B544" s="4" t="s">
        <v>1045</v>
      </c>
      <c r="C544" s="5">
        <v>102599.0</v>
      </c>
      <c r="D544" s="8" t="str">
        <f>+34.801726°</f>
        <v>#ERROR!</v>
      </c>
      <c r="E544" s="7" t="s">
        <v>1046</v>
      </c>
    </row>
    <row r="545">
      <c r="A545" s="3" t="s">
        <v>785</v>
      </c>
      <c r="B545" s="4" t="s">
        <v>179</v>
      </c>
      <c r="C545" s="5">
        <v>9255.0</v>
      </c>
      <c r="D545" s="8" t="str">
        <f>+31.962717°</f>
        <v>#ERROR!</v>
      </c>
      <c r="E545" s="7" t="s">
        <v>1047</v>
      </c>
    </row>
    <row r="546">
      <c r="A546" s="3" t="s">
        <v>785</v>
      </c>
      <c r="B546" s="4" t="s">
        <v>1048</v>
      </c>
      <c r="C546" s="5">
        <v>10593.0</v>
      </c>
      <c r="D546" s="8" t="str">
        <f>+33.779040°</f>
        <v>#ERROR!</v>
      </c>
      <c r="E546" s="7" t="s">
        <v>1049</v>
      </c>
    </row>
    <row r="547">
      <c r="A547" s="3" t="s">
        <v>785</v>
      </c>
      <c r="B547" s="4" t="s">
        <v>1050</v>
      </c>
      <c r="C547" s="5">
        <v>9563.0</v>
      </c>
      <c r="D547" s="8" t="str">
        <f>+32.804321°</f>
        <v>#ERROR!</v>
      </c>
      <c r="E547" s="7" t="s">
        <v>1051</v>
      </c>
    </row>
    <row r="548">
      <c r="A548" s="3" t="s">
        <v>785</v>
      </c>
      <c r="B548" s="4" t="s">
        <v>1052</v>
      </c>
      <c r="C548" s="5">
        <v>21679.0</v>
      </c>
      <c r="D548" s="8" t="str">
        <f>+31.551773°</f>
        <v>#ERROR!</v>
      </c>
      <c r="E548" s="7" t="s">
        <v>1053</v>
      </c>
    </row>
    <row r="549">
      <c r="A549" s="3" t="s">
        <v>1054</v>
      </c>
      <c r="B549" s="4" t="s">
        <v>1055</v>
      </c>
      <c r="C549" s="5">
        <v>185079.0</v>
      </c>
      <c r="D549" s="8" t="str">
        <f>+19.597764°</f>
        <v>#ERROR!</v>
      </c>
      <c r="E549" s="7" t="s">
        <v>1056</v>
      </c>
    </row>
    <row r="550">
      <c r="A550" s="3" t="s">
        <v>1054</v>
      </c>
      <c r="B550" s="4" t="s">
        <v>1057</v>
      </c>
      <c r="C550" s="5">
        <v>953207.0</v>
      </c>
      <c r="D550" s="8" t="str">
        <f>+21.461364°</f>
        <v>#ERROR!</v>
      </c>
      <c r="E550" s="7" t="s">
        <v>1058</v>
      </c>
    </row>
    <row r="551">
      <c r="A551" s="3" t="s">
        <v>1054</v>
      </c>
      <c r="B551" s="4" t="s">
        <v>1059</v>
      </c>
      <c r="C551" s="7">
        <v>90.0</v>
      </c>
      <c r="D551" s="8" t="str">
        <f>+21.218764°</f>
        <v>#ERROR!</v>
      </c>
      <c r="E551" s="7" t="s">
        <v>1060</v>
      </c>
    </row>
    <row r="552">
      <c r="A552" s="3" t="s">
        <v>1054</v>
      </c>
      <c r="B552" s="4" t="s">
        <v>1061</v>
      </c>
      <c r="C552" s="5">
        <v>67091.0</v>
      </c>
      <c r="D552" s="8" t="str">
        <f>+22.012038°</f>
        <v>#ERROR!</v>
      </c>
      <c r="E552" s="7" t="s">
        <v>1062</v>
      </c>
    </row>
    <row r="553">
      <c r="A553" s="3" t="s">
        <v>1054</v>
      </c>
      <c r="B553" s="4" t="s">
        <v>1063</v>
      </c>
      <c r="C553" s="5">
        <v>154834.0</v>
      </c>
      <c r="D553" s="8" t="str">
        <f>+20.855931°</f>
        <v>#ERROR!</v>
      </c>
      <c r="E553" s="7" t="s">
        <v>1064</v>
      </c>
    </row>
    <row r="554">
      <c r="A554" s="3" t="s">
        <v>1065</v>
      </c>
      <c r="B554" s="4" t="s">
        <v>1066</v>
      </c>
      <c r="C554" s="5">
        <v>392365.0</v>
      </c>
      <c r="D554" s="8" t="str">
        <f>+43.447861°</f>
        <v>#ERROR!</v>
      </c>
      <c r="E554" s="7" t="s">
        <v>1067</v>
      </c>
    </row>
    <row r="555">
      <c r="A555" s="3" t="s">
        <v>1065</v>
      </c>
      <c r="B555" s="4" t="s">
        <v>522</v>
      </c>
      <c r="C555" s="5">
        <v>3976.0</v>
      </c>
      <c r="D555" s="8" t="str">
        <f>+44.884583°</f>
        <v>#ERROR!</v>
      </c>
      <c r="E555" s="7" t="s">
        <v>1068</v>
      </c>
    </row>
    <row r="556">
      <c r="A556" s="3" t="s">
        <v>1065</v>
      </c>
      <c r="B556" s="4" t="s">
        <v>1069</v>
      </c>
      <c r="C556" s="5">
        <v>82839.0</v>
      </c>
      <c r="D556" s="8" t="str">
        <f>+42.692939°</f>
        <v>#ERROR!</v>
      </c>
      <c r="E556" s="7" t="s">
        <v>1070</v>
      </c>
    </row>
    <row r="557">
      <c r="A557" s="3" t="s">
        <v>1065</v>
      </c>
      <c r="B557" s="4" t="s">
        <v>1071</v>
      </c>
      <c r="C557" s="5">
        <v>5986.0</v>
      </c>
      <c r="D557" s="8" t="str">
        <f>+42.285833°</f>
        <v>#ERROR!</v>
      </c>
      <c r="E557" s="7" t="s">
        <v>1072</v>
      </c>
    </row>
    <row r="558">
      <c r="A558" s="3" t="s">
        <v>1065</v>
      </c>
      <c r="B558" s="4" t="s">
        <v>1073</v>
      </c>
      <c r="C558" s="5">
        <v>9285.0</v>
      </c>
      <c r="D558" s="8" t="str">
        <f>+47.218451°</f>
        <v>#ERROR!</v>
      </c>
      <c r="E558" s="7" t="s">
        <v>1074</v>
      </c>
    </row>
    <row r="559">
      <c r="A559" s="3" t="s">
        <v>1065</v>
      </c>
      <c r="B559" s="4" t="s">
        <v>1075</v>
      </c>
      <c r="C559" s="5">
        <v>45607.0</v>
      </c>
      <c r="D559" s="8" t="str">
        <f>+43.216357°</f>
        <v>#ERROR!</v>
      </c>
      <c r="E559" s="7" t="s">
        <v>1076</v>
      </c>
    </row>
    <row r="560">
      <c r="A560" s="3" t="s">
        <v>1065</v>
      </c>
      <c r="B560" s="4" t="s">
        <v>1077</v>
      </c>
      <c r="C560" s="5">
        <v>21376.0</v>
      </c>
      <c r="D560" s="8" t="str">
        <f>+43.394482°</f>
        <v>#ERROR!</v>
      </c>
      <c r="E560" s="7" t="s">
        <v>1078</v>
      </c>
    </row>
    <row r="561">
      <c r="A561" s="3" t="s">
        <v>1065</v>
      </c>
      <c r="B561" s="4" t="s">
        <v>1079</v>
      </c>
      <c r="C561" s="5">
        <v>7028.0</v>
      </c>
      <c r="D561" s="8" t="str">
        <f>+43.987275°</f>
        <v>#ERROR!</v>
      </c>
      <c r="E561" s="7" t="s">
        <v>1080</v>
      </c>
    </row>
    <row r="562">
      <c r="A562" s="3" t="s">
        <v>1065</v>
      </c>
      <c r="B562" s="4" t="s">
        <v>1081</v>
      </c>
      <c r="C562" s="5">
        <v>40877.0</v>
      </c>
      <c r="D562" s="8" t="str">
        <f>+48.312512°</f>
        <v>#ERROR!</v>
      </c>
      <c r="E562" s="7" t="s">
        <v>1082</v>
      </c>
    </row>
    <row r="563">
      <c r="A563" s="3" t="s">
        <v>1065</v>
      </c>
      <c r="B563" s="4" t="s">
        <v>1083</v>
      </c>
      <c r="C563" s="5">
        <v>104234.0</v>
      </c>
      <c r="D563" s="8" t="str">
        <f>+43.395171°</f>
        <v>#ERROR!</v>
      </c>
      <c r="E563" s="7" t="s">
        <v>1084</v>
      </c>
    </row>
    <row r="564">
      <c r="A564" s="3" t="s">
        <v>1065</v>
      </c>
      <c r="B564" s="4" t="s">
        <v>1085</v>
      </c>
      <c r="C564" s="5">
        <v>10972.0</v>
      </c>
      <c r="D564" s="8" t="str">
        <f>+48.773065°</f>
        <v>#ERROR!</v>
      </c>
      <c r="E564" s="7" t="s">
        <v>1086</v>
      </c>
    </row>
    <row r="565">
      <c r="A565" s="3" t="s">
        <v>1065</v>
      </c>
      <c r="B565" s="4" t="s">
        <v>413</v>
      </c>
      <c r="C565" s="5">
        <v>2891.0</v>
      </c>
      <c r="D565" s="8" t="str">
        <f>+43.685100°</f>
        <v>#ERROR!</v>
      </c>
      <c r="E565" s="7" t="s">
        <v>1087</v>
      </c>
    </row>
    <row r="566">
      <c r="A566" s="3" t="s">
        <v>1065</v>
      </c>
      <c r="B566" s="4" t="s">
        <v>1088</v>
      </c>
      <c r="C566" s="5">
        <v>1117.0</v>
      </c>
      <c r="D566" s="8" t="str">
        <f>+43.463396°</f>
        <v>#ERROR!</v>
      </c>
      <c r="E566" s="7" t="s">
        <v>1089</v>
      </c>
    </row>
    <row r="567">
      <c r="A567" s="3" t="s">
        <v>1065</v>
      </c>
      <c r="B567" s="4" t="s">
        <v>1090</v>
      </c>
      <c r="C567" s="5">
        <v>188923.0</v>
      </c>
      <c r="D567" s="8" t="str">
        <f>+43.623051°</f>
        <v>#ERROR!</v>
      </c>
      <c r="E567" s="7" t="s">
        <v>1091</v>
      </c>
    </row>
    <row r="568">
      <c r="A568" s="3" t="s">
        <v>1065</v>
      </c>
      <c r="B568" s="4" t="s">
        <v>1092</v>
      </c>
      <c r="C568" s="5">
        <v>6963.0</v>
      </c>
      <c r="D568" s="8" t="str">
        <f>+42.786273°</f>
        <v>#ERROR!</v>
      </c>
      <c r="E568" s="7" t="s">
        <v>1093</v>
      </c>
    </row>
    <row r="569">
      <c r="A569" s="3" t="s">
        <v>1065</v>
      </c>
      <c r="B569" s="4" t="s">
        <v>1094</v>
      </c>
      <c r="C569" s="5">
        <v>22952.0</v>
      </c>
      <c r="D569" s="8" t="str">
        <f>+42.288635°</f>
        <v>#ERROR!</v>
      </c>
      <c r="E569" s="7" t="s">
        <v>1095</v>
      </c>
    </row>
    <row r="570">
      <c r="A570" s="3" t="s">
        <v>1065</v>
      </c>
      <c r="B570" s="4" t="s">
        <v>291</v>
      </c>
      <c r="C570" s="7">
        <v>982.0</v>
      </c>
      <c r="D570" s="8" t="str">
        <f>+44.286251°</f>
        <v>#ERROR!</v>
      </c>
      <c r="E570" s="7" t="s">
        <v>1096</v>
      </c>
    </row>
    <row r="571">
      <c r="A571" s="3" t="s">
        <v>1065</v>
      </c>
      <c r="B571" s="4" t="s">
        <v>1097</v>
      </c>
      <c r="C571" s="5">
        <v>8761.0</v>
      </c>
      <c r="D571" s="8" t="str">
        <f>+46.672570°</f>
        <v>#ERROR!</v>
      </c>
      <c r="E571" s="7" t="s">
        <v>1098</v>
      </c>
    </row>
    <row r="572">
      <c r="A572" s="3" t="s">
        <v>1065</v>
      </c>
      <c r="B572" s="4" t="s">
        <v>550</v>
      </c>
      <c r="C572" s="5">
        <v>4368.0</v>
      </c>
      <c r="D572" s="8" t="str">
        <f>+44.273341°</f>
        <v>#ERROR!</v>
      </c>
      <c r="E572" s="7" t="s">
        <v>1099</v>
      </c>
    </row>
    <row r="573">
      <c r="A573" s="3" t="s">
        <v>1065</v>
      </c>
      <c r="B573" s="4" t="s">
        <v>78</v>
      </c>
      <c r="C573" s="5">
        <v>27038.0</v>
      </c>
      <c r="D573" s="8" t="str">
        <f>+43.394826°</f>
        <v>#ERROR!</v>
      </c>
      <c r="E573" s="7" t="s">
        <v>1100</v>
      </c>
    </row>
    <row r="574">
      <c r="A574" s="3" t="s">
        <v>1065</v>
      </c>
      <c r="B574" s="4" t="s">
        <v>90</v>
      </c>
      <c r="C574" s="5">
        <v>12786.0</v>
      </c>
      <c r="D574" s="8" t="str">
        <f>+42.173589°</f>
        <v>#ERROR!</v>
      </c>
      <c r="E574" s="7" t="s">
        <v>1101</v>
      </c>
    </row>
    <row r="575">
      <c r="A575" s="3" t="s">
        <v>1065</v>
      </c>
      <c r="B575" s="4" t="s">
        <v>566</v>
      </c>
      <c r="C575" s="5">
        <v>13242.0</v>
      </c>
      <c r="D575" s="8" t="str">
        <f>+44.218091°</f>
        <v>#ERROR!</v>
      </c>
      <c r="E575" s="7" t="s">
        <v>1102</v>
      </c>
    </row>
    <row r="576">
      <c r="A576" s="3" t="s">
        <v>1065</v>
      </c>
      <c r="B576" s="4" t="s">
        <v>1103</v>
      </c>
      <c r="C576" s="5">
        <v>16719.0</v>
      </c>
      <c r="D576" s="8" t="str">
        <f>+44.061473°</f>
        <v>#ERROR!</v>
      </c>
      <c r="E576" s="7" t="s">
        <v>1104</v>
      </c>
    </row>
    <row r="577">
      <c r="A577" s="3" t="s">
        <v>1065</v>
      </c>
      <c r="B577" s="4" t="s">
        <v>1105</v>
      </c>
      <c r="C577" s="5">
        <v>15464.0</v>
      </c>
      <c r="D577" s="8" t="str">
        <f>+42.973185°</f>
        <v>#ERROR!</v>
      </c>
      <c r="E577" s="7" t="s">
        <v>1106</v>
      </c>
    </row>
    <row r="578">
      <c r="A578" s="3" t="s">
        <v>1065</v>
      </c>
      <c r="B578" s="4" t="s">
        <v>1107</v>
      </c>
      <c r="C578" s="5">
        <v>16267.0</v>
      </c>
      <c r="D578" s="8" t="str">
        <f>+45.849237°</f>
        <v>#ERROR!</v>
      </c>
      <c r="E578" s="7" t="s">
        <v>1108</v>
      </c>
    </row>
    <row r="579">
      <c r="A579" s="3" t="s">
        <v>1065</v>
      </c>
      <c r="B579" s="4" t="s">
        <v>111</v>
      </c>
      <c r="C579" s="5">
        <v>26140.0</v>
      </c>
      <c r="D579" s="8" t="str">
        <f>+43.796965°</f>
        <v>#ERROR!</v>
      </c>
      <c r="E579" s="7" t="s">
        <v>1109</v>
      </c>
    </row>
    <row r="580">
      <c r="A580" s="3" t="s">
        <v>1065</v>
      </c>
      <c r="B580" s="4" t="s">
        <v>1110</v>
      </c>
      <c r="C580" s="5">
        <v>22374.0</v>
      </c>
      <c r="D580" s="8" t="str">
        <f>+42.691172°</f>
        <v>#ERROR!</v>
      </c>
      <c r="E580" s="7" t="s">
        <v>1111</v>
      </c>
    </row>
    <row r="581">
      <c r="A581" s="3" t="s">
        <v>1065</v>
      </c>
      <c r="B581" s="4" t="s">
        <v>1112</v>
      </c>
      <c r="C581" s="5">
        <v>138494.0</v>
      </c>
      <c r="D581" s="8" t="str">
        <f>+47.677113°</f>
        <v>#ERROR!</v>
      </c>
      <c r="E581" s="7" t="s">
        <v>1113</v>
      </c>
    </row>
    <row r="582">
      <c r="A582" s="3" t="s">
        <v>1065</v>
      </c>
      <c r="B582" s="4" t="s">
        <v>1114</v>
      </c>
      <c r="C582" s="5">
        <v>37244.0</v>
      </c>
      <c r="D582" s="8" t="str">
        <f>+46.818920°</f>
        <v>#ERROR!</v>
      </c>
      <c r="E582" s="7" t="s">
        <v>1115</v>
      </c>
    </row>
    <row r="583">
      <c r="A583" s="3" t="s">
        <v>1065</v>
      </c>
      <c r="B583" s="4" t="s">
        <v>1116</v>
      </c>
      <c r="C583" s="5">
        <v>7936.0</v>
      </c>
      <c r="D583" s="8" t="str">
        <f>+44.928789°</f>
        <v>#ERROR!</v>
      </c>
      <c r="E583" s="7" t="s">
        <v>1117</v>
      </c>
    </row>
    <row r="584">
      <c r="A584" s="3" t="s">
        <v>1065</v>
      </c>
      <c r="B584" s="4" t="s">
        <v>1118</v>
      </c>
      <c r="C584" s="5">
        <v>3821.0</v>
      </c>
      <c r="D584" s="8" t="str">
        <f>+46.236328°</f>
        <v>#ERROR!</v>
      </c>
      <c r="E584" s="7" t="s">
        <v>1119</v>
      </c>
    </row>
    <row r="585">
      <c r="A585" s="3" t="s">
        <v>1065</v>
      </c>
      <c r="B585" s="4" t="s">
        <v>342</v>
      </c>
      <c r="C585" s="5">
        <v>5208.0</v>
      </c>
      <c r="D585" s="8" t="str">
        <f>+42.986181°</f>
        <v>#ERROR!</v>
      </c>
      <c r="E585" s="7" t="s">
        <v>1120</v>
      </c>
    </row>
    <row r="586">
      <c r="A586" s="3" t="s">
        <v>1065</v>
      </c>
      <c r="B586" s="4" t="s">
        <v>135</v>
      </c>
      <c r="C586" s="5">
        <v>37536.0</v>
      </c>
      <c r="D586" s="8" t="str">
        <f>+43.789709°</f>
        <v>#ERROR!</v>
      </c>
      <c r="E586" s="7" t="s">
        <v>1121</v>
      </c>
    </row>
    <row r="587">
      <c r="A587" s="3" t="s">
        <v>1065</v>
      </c>
      <c r="B587" s="4" t="s">
        <v>1122</v>
      </c>
      <c r="C587" s="5">
        <v>20069.0</v>
      </c>
      <c r="D587" s="8" t="str">
        <f>+42.856937°</f>
        <v>#ERROR!</v>
      </c>
      <c r="E587" s="7" t="s">
        <v>1123</v>
      </c>
    </row>
    <row r="588">
      <c r="A588" s="3" t="s">
        <v>1065</v>
      </c>
      <c r="B588" s="4" t="s">
        <v>1124</v>
      </c>
      <c r="C588" s="5">
        <v>39265.0</v>
      </c>
      <c r="D588" s="8" t="str">
        <f>+46.333766°</f>
        <v>#ERROR!</v>
      </c>
      <c r="E588" s="7" t="s">
        <v>1125</v>
      </c>
    </row>
    <row r="589">
      <c r="A589" s="3" t="s">
        <v>1065</v>
      </c>
      <c r="B589" s="4" t="s">
        <v>1126</v>
      </c>
      <c r="C589" s="5">
        <v>4286.0</v>
      </c>
      <c r="D589" s="8" t="str">
        <f>+42.183890°</f>
        <v>#ERROR!</v>
      </c>
      <c r="E589" s="7" t="s">
        <v>1127</v>
      </c>
    </row>
    <row r="590">
      <c r="A590" s="3" t="s">
        <v>1065</v>
      </c>
      <c r="B590" s="4" t="s">
        <v>1128</v>
      </c>
      <c r="C590" s="5">
        <v>11526.0</v>
      </c>
      <c r="D590" s="8" t="str">
        <f>+42.593063°</f>
        <v>#ERROR!</v>
      </c>
      <c r="E590" s="7" t="s">
        <v>1129</v>
      </c>
    </row>
    <row r="591">
      <c r="A591" s="3" t="s">
        <v>1065</v>
      </c>
      <c r="B591" s="4" t="s">
        <v>1130</v>
      </c>
      <c r="C591" s="5">
        <v>22623.0</v>
      </c>
      <c r="D591" s="8" t="str">
        <f>+44.002740°</f>
        <v>#ERROR!</v>
      </c>
      <c r="E591" s="7" t="s">
        <v>1131</v>
      </c>
    </row>
    <row r="592">
      <c r="A592" s="3" t="s">
        <v>1065</v>
      </c>
      <c r="B592" s="4" t="s">
        <v>1132</v>
      </c>
      <c r="C592" s="5">
        <v>7817.0</v>
      </c>
      <c r="D592" s="8" t="str">
        <f>+42.694126°</f>
        <v>#ERROR!</v>
      </c>
      <c r="E592" s="7" t="s">
        <v>1133</v>
      </c>
    </row>
    <row r="593">
      <c r="A593" s="3" t="s">
        <v>1065</v>
      </c>
      <c r="B593" s="4" t="s">
        <v>1134</v>
      </c>
      <c r="C593" s="5">
        <v>12765.0</v>
      </c>
      <c r="D593" s="8" t="str">
        <f>+47.347694°</f>
        <v>#ERROR!</v>
      </c>
      <c r="E593" s="7" t="s">
        <v>1135</v>
      </c>
    </row>
    <row r="594">
      <c r="A594" s="3" t="s">
        <v>1065</v>
      </c>
      <c r="B594" s="4" t="s">
        <v>1136</v>
      </c>
      <c r="C594" s="5">
        <v>10170.0</v>
      </c>
      <c r="D594" s="8" t="str">
        <f>+43.760994°</f>
        <v>#ERROR!</v>
      </c>
      <c r="E594" s="7" t="s">
        <v>1137</v>
      </c>
    </row>
    <row r="595">
      <c r="A595" s="3" t="s">
        <v>1065</v>
      </c>
      <c r="B595" s="4" t="s">
        <v>1138</v>
      </c>
      <c r="C595" s="5">
        <v>77230.0</v>
      </c>
      <c r="D595" s="8" t="str">
        <f>+42.352309°</f>
        <v>#ERROR!</v>
      </c>
      <c r="E595" s="7" t="s">
        <v>1139</v>
      </c>
    </row>
    <row r="596">
      <c r="A596" s="3" t="s">
        <v>1065</v>
      </c>
      <c r="B596" s="4" t="s">
        <v>1140</v>
      </c>
      <c r="C596" s="5">
        <v>9862.0</v>
      </c>
      <c r="D596" s="8" t="str">
        <f>+44.771532°</f>
        <v>#ERROR!</v>
      </c>
      <c r="E596" s="7" t="s">
        <v>1141</v>
      </c>
    </row>
    <row r="597">
      <c r="A597" s="3" t="s">
        <v>1065</v>
      </c>
      <c r="B597" s="4" t="s">
        <v>177</v>
      </c>
      <c r="C597" s="5">
        <v>10198.0</v>
      </c>
      <c r="D597" s="8" t="str">
        <f>+44.448213°</f>
        <v>#ERROR!</v>
      </c>
      <c r="E597" s="7" t="s">
        <v>1142</v>
      </c>
    </row>
    <row r="598">
      <c r="A598" s="3" t="s">
        <v>1143</v>
      </c>
      <c r="B598" s="4" t="s">
        <v>522</v>
      </c>
      <c r="C598" s="5">
        <v>67103.0</v>
      </c>
      <c r="D598" s="8" t="str">
        <f>+39.986053°</f>
        <v>#ERROR!</v>
      </c>
      <c r="E598" s="7" t="s">
        <v>1144</v>
      </c>
    </row>
    <row r="599">
      <c r="A599" s="3" t="s">
        <v>1143</v>
      </c>
      <c r="B599" s="4" t="s">
        <v>1145</v>
      </c>
      <c r="C599" s="5">
        <v>8238.0</v>
      </c>
      <c r="D599" s="8" t="str">
        <f>+37.183683°</f>
        <v>#ERROR!</v>
      </c>
      <c r="E599" s="7" t="s">
        <v>1146</v>
      </c>
    </row>
    <row r="600">
      <c r="A600" s="3" t="s">
        <v>1143</v>
      </c>
      <c r="B600" s="4" t="s">
        <v>1147</v>
      </c>
      <c r="C600" s="5">
        <v>17768.0</v>
      </c>
      <c r="D600" s="8" t="str">
        <f>+38.885924°</f>
        <v>#ERROR!</v>
      </c>
      <c r="E600" s="7" t="s">
        <v>1148</v>
      </c>
    </row>
    <row r="601">
      <c r="A601" s="3" t="s">
        <v>1143</v>
      </c>
      <c r="B601" s="4" t="s">
        <v>282</v>
      </c>
      <c r="C601" s="5">
        <v>54165.0</v>
      </c>
      <c r="D601" s="8" t="str">
        <f>+42.318983°</f>
        <v>#ERROR!</v>
      </c>
      <c r="E601" s="7" t="s">
        <v>1149</v>
      </c>
    </row>
    <row r="602">
      <c r="A602" s="3" t="s">
        <v>1143</v>
      </c>
      <c r="B602" s="4" t="s">
        <v>1150</v>
      </c>
      <c r="C602" s="5">
        <v>6937.0</v>
      </c>
      <c r="D602" s="8" t="str">
        <f>+39.962069°</f>
        <v>#ERROR!</v>
      </c>
      <c r="E602" s="7" t="s">
        <v>1151</v>
      </c>
    </row>
    <row r="603">
      <c r="A603" s="3" t="s">
        <v>1143</v>
      </c>
      <c r="B603" s="4" t="s">
        <v>1152</v>
      </c>
      <c r="C603" s="5">
        <v>34978.0</v>
      </c>
      <c r="D603" s="8" t="str">
        <f>+41.401304°</f>
        <v>#ERROR!</v>
      </c>
      <c r="E603" s="7" t="s">
        <v>1153</v>
      </c>
    </row>
    <row r="604">
      <c r="A604" s="3" t="s">
        <v>1143</v>
      </c>
      <c r="B604" s="4" t="s">
        <v>27</v>
      </c>
      <c r="C604" s="5">
        <v>5089.0</v>
      </c>
      <c r="D604" s="8" t="str">
        <f>+39.164262°</f>
        <v>#ERROR!</v>
      </c>
      <c r="E604" s="7" t="s">
        <v>1154</v>
      </c>
    </row>
    <row r="605">
      <c r="A605" s="3" t="s">
        <v>1143</v>
      </c>
      <c r="B605" s="4" t="s">
        <v>287</v>
      </c>
      <c r="C605" s="5">
        <v>15387.0</v>
      </c>
      <c r="D605" s="8" t="str">
        <f>+42.059084°</f>
        <v>#ERROR!</v>
      </c>
      <c r="E605" s="7" t="s">
        <v>1155</v>
      </c>
    </row>
    <row r="606">
      <c r="A606" s="3" t="s">
        <v>1143</v>
      </c>
      <c r="B606" s="4" t="s">
        <v>1156</v>
      </c>
      <c r="C606" s="5">
        <v>13642.0</v>
      </c>
      <c r="D606" s="8" t="str">
        <f>+39.969202°</f>
        <v>#ERROR!</v>
      </c>
      <c r="E606" s="7" t="s">
        <v>1157</v>
      </c>
    </row>
    <row r="607">
      <c r="A607" s="3" t="s">
        <v>1143</v>
      </c>
      <c r="B607" s="4" t="s">
        <v>1158</v>
      </c>
      <c r="C607" s="5">
        <v>201081.0</v>
      </c>
      <c r="D607" s="8" t="str">
        <f>+40.139150°</f>
        <v>#ERROR!</v>
      </c>
      <c r="E607" s="7" t="s">
        <v>1159</v>
      </c>
    </row>
    <row r="608">
      <c r="A608" s="3" t="s">
        <v>1143</v>
      </c>
      <c r="B608" s="4" t="s">
        <v>1160</v>
      </c>
      <c r="C608" s="5">
        <v>34800.0</v>
      </c>
      <c r="D608" s="8" t="str">
        <f>+39.545524°</f>
        <v>#ERROR!</v>
      </c>
      <c r="E608" s="7" t="s">
        <v>1161</v>
      </c>
    </row>
    <row r="609">
      <c r="A609" s="3" t="s">
        <v>1143</v>
      </c>
      <c r="B609" s="4" t="s">
        <v>291</v>
      </c>
      <c r="C609" s="5">
        <v>16335.0</v>
      </c>
      <c r="D609" s="8" t="str">
        <f>+39.332364°</f>
        <v>#ERROR!</v>
      </c>
      <c r="E609" s="7" t="s">
        <v>1162</v>
      </c>
    </row>
    <row r="610">
      <c r="A610" s="3" t="s">
        <v>1143</v>
      </c>
      <c r="B610" s="4" t="s">
        <v>42</v>
      </c>
      <c r="C610" s="5">
        <v>13815.0</v>
      </c>
      <c r="D610" s="8" t="str">
        <f>+38.747312°</f>
        <v>#ERROR!</v>
      </c>
      <c r="E610" s="7" t="s">
        <v>1163</v>
      </c>
    </row>
    <row r="611">
      <c r="A611" s="3" t="s">
        <v>1143</v>
      </c>
      <c r="B611" s="4" t="s">
        <v>1164</v>
      </c>
      <c r="C611" s="5">
        <v>37762.0</v>
      </c>
      <c r="D611" s="8" t="str">
        <f>+38.606423°</f>
        <v>#ERROR!</v>
      </c>
      <c r="E611" s="7" t="s">
        <v>1165</v>
      </c>
    </row>
    <row r="612">
      <c r="A612" s="3" t="s">
        <v>1143</v>
      </c>
      <c r="B612" s="4" t="s">
        <v>1166</v>
      </c>
      <c r="C612" s="5">
        <v>53873.0</v>
      </c>
      <c r="D612" s="8" t="str">
        <f>+39.513680°</f>
        <v>#ERROR!</v>
      </c>
      <c r="E612" s="7" t="s">
        <v>1167</v>
      </c>
    </row>
    <row r="613">
      <c r="A613" s="3" t="s">
        <v>1143</v>
      </c>
      <c r="B613" s="4" t="s">
        <v>849</v>
      </c>
      <c r="C613" s="5">
        <v>5194675.0</v>
      </c>
      <c r="D613" s="8" t="str">
        <f>+41.894294°</f>
        <v>#ERROR!</v>
      </c>
      <c r="E613" s="7" t="s">
        <v>1168</v>
      </c>
    </row>
    <row r="614">
      <c r="A614" s="3" t="s">
        <v>1143</v>
      </c>
      <c r="B614" s="4" t="s">
        <v>303</v>
      </c>
      <c r="C614" s="5">
        <v>19817.0</v>
      </c>
      <c r="D614" s="8" t="str">
        <f>+39.003730°</f>
        <v>#ERROR!</v>
      </c>
      <c r="E614" s="7" t="s">
        <v>1169</v>
      </c>
    </row>
    <row r="615">
      <c r="A615" s="3" t="s">
        <v>1143</v>
      </c>
      <c r="B615" s="4" t="s">
        <v>1170</v>
      </c>
      <c r="C615" s="5">
        <v>11048.0</v>
      </c>
      <c r="D615" s="8" t="str">
        <f>+39.273121°</f>
        <v>#ERROR!</v>
      </c>
      <c r="E615" s="7" t="s">
        <v>1171</v>
      </c>
    </row>
    <row r="616">
      <c r="A616" s="3" t="s">
        <v>1143</v>
      </c>
      <c r="B616" s="4" t="s">
        <v>75</v>
      </c>
      <c r="C616" s="5">
        <v>105160.0</v>
      </c>
      <c r="D616" s="8" t="str">
        <f>+41.894613°</f>
        <v>#ERROR!</v>
      </c>
      <c r="E616" s="7" t="s">
        <v>1172</v>
      </c>
    </row>
    <row r="617">
      <c r="A617" s="3" t="s">
        <v>1143</v>
      </c>
      <c r="B617" s="4" t="s">
        <v>1173</v>
      </c>
      <c r="C617" s="5">
        <v>16561.0</v>
      </c>
      <c r="D617" s="8" t="str">
        <f>+40.181499°</f>
        <v>#ERROR!</v>
      </c>
      <c r="E617" s="7" t="s">
        <v>1174</v>
      </c>
    </row>
    <row r="618">
      <c r="A618" s="3" t="s">
        <v>1143</v>
      </c>
      <c r="B618" s="4" t="s">
        <v>558</v>
      </c>
      <c r="C618" s="5">
        <v>19980.0</v>
      </c>
      <c r="D618" s="8" t="str">
        <f>+39.766078°</f>
        <v>#ERROR!</v>
      </c>
      <c r="E618" s="7" t="s">
        <v>1175</v>
      </c>
    </row>
    <row r="619">
      <c r="A619" s="3" t="s">
        <v>1143</v>
      </c>
      <c r="B619" s="4" t="s">
        <v>1176</v>
      </c>
      <c r="C619" s="5">
        <v>916924.0</v>
      </c>
      <c r="D619" s="8" t="str">
        <f>+41.852058°</f>
        <v>#ERROR!</v>
      </c>
      <c r="E619" s="7" t="s">
        <v>1177</v>
      </c>
    </row>
    <row r="620">
      <c r="A620" s="3" t="s">
        <v>1143</v>
      </c>
      <c r="B620" s="4" t="s">
        <v>1178</v>
      </c>
      <c r="C620" s="5">
        <v>18576.0</v>
      </c>
      <c r="D620" s="8" t="str">
        <f>+39.679037°</f>
        <v>#ERROR!</v>
      </c>
      <c r="E620" s="7" t="s">
        <v>1179</v>
      </c>
    </row>
    <row r="621">
      <c r="A621" s="3" t="s">
        <v>1143</v>
      </c>
      <c r="B621" s="4" t="s">
        <v>1180</v>
      </c>
      <c r="C621" s="5">
        <v>6721.0</v>
      </c>
      <c r="D621" s="8" t="str">
        <f>+38.417095°</f>
        <v>#ERROR!</v>
      </c>
      <c r="E621" s="7" t="s">
        <v>1181</v>
      </c>
    </row>
    <row r="622">
      <c r="A622" s="3" t="s">
        <v>1143</v>
      </c>
      <c r="B622" s="4" t="s">
        <v>874</v>
      </c>
      <c r="C622" s="5">
        <v>34242.0</v>
      </c>
      <c r="D622" s="8" t="str">
        <f>+39.047694°</f>
        <v>#ERROR!</v>
      </c>
      <c r="E622" s="7" t="s">
        <v>1182</v>
      </c>
    </row>
    <row r="623">
      <c r="A623" s="3" t="s">
        <v>1143</v>
      </c>
      <c r="B623" s="4" t="s">
        <v>87</v>
      </c>
      <c r="C623" s="5">
        <v>22140.0</v>
      </c>
      <c r="D623" s="8" t="str">
        <f>+39.001125°</f>
        <v>#ERROR!</v>
      </c>
      <c r="E623" s="7" t="s">
        <v>1183</v>
      </c>
    </row>
    <row r="624">
      <c r="A624" s="3" t="s">
        <v>1143</v>
      </c>
      <c r="B624" s="4" t="s">
        <v>1184</v>
      </c>
      <c r="C624" s="5">
        <v>14081.0</v>
      </c>
      <c r="D624" s="8" t="str">
        <f>+40.594423°</f>
        <v>#ERROR!</v>
      </c>
      <c r="E624" s="7" t="s">
        <v>1185</v>
      </c>
    </row>
    <row r="625">
      <c r="A625" s="3" t="s">
        <v>1143</v>
      </c>
      <c r="B625" s="4" t="s">
        <v>90</v>
      </c>
      <c r="C625" s="5">
        <v>39561.0</v>
      </c>
      <c r="D625" s="8" t="str">
        <f>+37.991848°</f>
        <v>#ERROR!</v>
      </c>
      <c r="E625" s="7" t="s">
        <v>1186</v>
      </c>
    </row>
    <row r="626">
      <c r="A626" s="3" t="s">
        <v>1143</v>
      </c>
      <c r="B626" s="4" t="s">
        <v>317</v>
      </c>
      <c r="C626" s="5">
        <v>37069.0</v>
      </c>
      <c r="D626" s="8" t="str">
        <f>+40.465688°</f>
        <v>#ERROR!</v>
      </c>
      <c r="E626" s="7" t="s">
        <v>1187</v>
      </c>
    </row>
    <row r="627">
      <c r="A627" s="3" t="s">
        <v>1143</v>
      </c>
      <c r="B627" s="4" t="s">
        <v>1188</v>
      </c>
      <c r="C627" s="5">
        <v>5589.0</v>
      </c>
      <c r="D627" s="8" t="str">
        <f>+37.768677°</f>
        <v>#ERROR!</v>
      </c>
      <c r="E627" s="7" t="s">
        <v>1189</v>
      </c>
    </row>
    <row r="628">
      <c r="A628" s="3" t="s">
        <v>1143</v>
      </c>
      <c r="B628" s="4" t="s">
        <v>96</v>
      </c>
      <c r="C628" s="5">
        <v>13886.0</v>
      </c>
      <c r="D628" s="8" t="str">
        <f>+39.355444°</f>
        <v>#ERROR!</v>
      </c>
      <c r="E628" s="7" t="s">
        <v>1190</v>
      </c>
    </row>
    <row r="629">
      <c r="A629" s="3" t="s">
        <v>1143</v>
      </c>
      <c r="B629" s="4" t="s">
        <v>1191</v>
      </c>
      <c r="C629" s="5">
        <v>50063.0</v>
      </c>
      <c r="D629" s="8" t="str">
        <f>+41.292410°</f>
        <v>#ERROR!</v>
      </c>
      <c r="E629" s="7" t="s">
        <v>1192</v>
      </c>
    </row>
    <row r="630">
      <c r="A630" s="3" t="s">
        <v>1143</v>
      </c>
      <c r="B630" s="4" t="s">
        <v>708</v>
      </c>
      <c r="C630" s="5">
        <v>8457.0</v>
      </c>
      <c r="D630" s="8" t="str">
        <f>+38.085226°</f>
        <v>#ERROR!</v>
      </c>
      <c r="E630" s="7" t="s">
        <v>1193</v>
      </c>
    </row>
    <row r="631">
      <c r="A631" s="3" t="s">
        <v>1143</v>
      </c>
      <c r="B631" s="4" t="s">
        <v>907</v>
      </c>
      <c r="C631" s="5">
        <v>19104.0</v>
      </c>
      <c r="D631" s="8" t="str">
        <f>+40.405792°</f>
        <v>#ERROR!</v>
      </c>
      <c r="E631" s="7" t="s">
        <v>1194</v>
      </c>
    </row>
    <row r="632">
      <c r="A632" s="3" t="s">
        <v>1143</v>
      </c>
      <c r="B632" s="4" t="s">
        <v>1195</v>
      </c>
      <c r="C632" s="5">
        <v>4320.0</v>
      </c>
      <c r="D632" s="8" t="str">
        <f>+37.517852°</f>
        <v>#ERROR!</v>
      </c>
      <c r="E632" s="7" t="s">
        <v>1196</v>
      </c>
    </row>
    <row r="633">
      <c r="A633" s="3" t="s">
        <v>1143</v>
      </c>
      <c r="B633" s="4" t="s">
        <v>1197</v>
      </c>
      <c r="C633" s="5">
        <v>7331.0</v>
      </c>
      <c r="D633" s="8" t="str">
        <f>+40.815141°</f>
        <v>#ERROR!</v>
      </c>
      <c r="E633" s="7" t="s">
        <v>1198</v>
      </c>
    </row>
    <row r="634">
      <c r="A634" s="3" t="s">
        <v>1143</v>
      </c>
      <c r="B634" s="4" t="s">
        <v>102</v>
      </c>
      <c r="C634" s="5">
        <v>50486.0</v>
      </c>
      <c r="D634" s="8" t="str">
        <f>+41.350021°</f>
        <v>#ERROR!</v>
      </c>
      <c r="E634" s="7" t="s">
        <v>1199</v>
      </c>
    </row>
    <row r="635">
      <c r="A635" s="3" t="s">
        <v>1143</v>
      </c>
      <c r="B635" s="4" t="s">
        <v>1200</v>
      </c>
      <c r="C635" s="5">
        <v>29718.0</v>
      </c>
      <c r="D635" s="8" t="str">
        <f>+40.748867°</f>
        <v>#ERROR!</v>
      </c>
      <c r="E635" s="7" t="s">
        <v>1201</v>
      </c>
    </row>
    <row r="636">
      <c r="A636" s="3" t="s">
        <v>1143</v>
      </c>
      <c r="B636" s="4" t="s">
        <v>108</v>
      </c>
      <c r="C636" s="5">
        <v>60218.0</v>
      </c>
      <c r="D636" s="8" t="str">
        <f>+37.786096°</f>
        <v>#ERROR!</v>
      </c>
      <c r="E636" s="7" t="s">
        <v>1202</v>
      </c>
    </row>
    <row r="637">
      <c r="A637" s="3" t="s">
        <v>1143</v>
      </c>
      <c r="B637" s="4" t="s">
        <v>922</v>
      </c>
      <c r="C637" s="5">
        <v>9698.0</v>
      </c>
      <c r="D637" s="8" t="str">
        <f>+39.004874°</f>
        <v>#ERROR!</v>
      </c>
      <c r="E637" s="7" t="s">
        <v>1203</v>
      </c>
    </row>
    <row r="638">
      <c r="A638" s="3" t="s">
        <v>1143</v>
      </c>
      <c r="B638" s="4" t="s">
        <v>111</v>
      </c>
      <c r="C638" s="5">
        <v>38827.0</v>
      </c>
      <c r="D638" s="8" t="str">
        <f>+38.300780°</f>
        <v>#ERROR!</v>
      </c>
      <c r="E638" s="7" t="s">
        <v>1204</v>
      </c>
    </row>
    <row r="639">
      <c r="A639" s="3" t="s">
        <v>1143</v>
      </c>
      <c r="B639" s="4" t="s">
        <v>1205</v>
      </c>
      <c r="C639" s="5">
        <v>22985.0</v>
      </c>
      <c r="D639" s="8" t="str">
        <f>+39.080192°</f>
        <v>#ERROR!</v>
      </c>
      <c r="E639" s="7" t="s">
        <v>1206</v>
      </c>
    </row>
    <row r="640">
      <c r="A640" s="3" t="s">
        <v>1143</v>
      </c>
      <c r="B640" s="4" t="s">
        <v>1207</v>
      </c>
      <c r="C640" s="5">
        <v>22678.0</v>
      </c>
      <c r="D640" s="8" t="str">
        <f>+42.362391°</f>
        <v>#ERROR!</v>
      </c>
      <c r="E640" s="7" t="s">
        <v>1208</v>
      </c>
    </row>
    <row r="641">
      <c r="A641" s="3" t="s">
        <v>1143</v>
      </c>
      <c r="B641" s="4" t="s">
        <v>336</v>
      </c>
      <c r="C641" s="5">
        <v>12582.0</v>
      </c>
      <c r="D641" s="8" t="str">
        <f>+37.460815°</f>
        <v>#ERROR!</v>
      </c>
      <c r="E641" s="7" t="s">
        <v>1209</v>
      </c>
    </row>
    <row r="642">
      <c r="A642" s="3" t="s">
        <v>1143</v>
      </c>
      <c r="B642" s="4" t="s">
        <v>1210</v>
      </c>
      <c r="C642" s="5">
        <v>515269.0</v>
      </c>
      <c r="D642" s="8" t="str">
        <f>+41.939594°</f>
        <v>#ERROR!</v>
      </c>
      <c r="E642" s="7" t="s">
        <v>1211</v>
      </c>
    </row>
    <row r="643">
      <c r="A643" s="3" t="s">
        <v>1143</v>
      </c>
      <c r="B643" s="4" t="s">
        <v>1212</v>
      </c>
      <c r="C643" s="5">
        <v>113449.0</v>
      </c>
      <c r="D643" s="8" t="str">
        <f>+41.139494°</f>
        <v>#ERROR!</v>
      </c>
      <c r="E643" s="7" t="s">
        <v>1213</v>
      </c>
    </row>
    <row r="644">
      <c r="A644" s="3" t="s">
        <v>1143</v>
      </c>
      <c r="B644" s="4" t="s">
        <v>1214</v>
      </c>
      <c r="C644" s="5">
        <v>114736.0</v>
      </c>
      <c r="D644" s="8" t="str">
        <f>+41.588140°</f>
        <v>#ERROR!</v>
      </c>
      <c r="E644" s="7" t="s">
        <v>1215</v>
      </c>
    </row>
    <row r="645">
      <c r="A645" s="3" t="s">
        <v>1143</v>
      </c>
      <c r="B645" s="4" t="s">
        <v>1216</v>
      </c>
      <c r="C645" s="5">
        <v>52919.0</v>
      </c>
      <c r="D645" s="8" t="str">
        <f>+40.930941°</f>
        <v>#ERROR!</v>
      </c>
      <c r="E645" s="7" t="s">
        <v>1217</v>
      </c>
    </row>
    <row r="646">
      <c r="A646" s="3" t="s">
        <v>1143</v>
      </c>
      <c r="B646" s="4" t="s">
        <v>439</v>
      </c>
      <c r="C646" s="5">
        <v>703462.0</v>
      </c>
      <c r="D646" s="8" t="str">
        <f>+42.326444°</f>
        <v>#ERROR!</v>
      </c>
      <c r="E646" s="7" t="s">
        <v>1218</v>
      </c>
    </row>
    <row r="647">
      <c r="A647" s="3" t="s">
        <v>1143</v>
      </c>
      <c r="B647" s="4" t="s">
        <v>1219</v>
      </c>
      <c r="C647" s="5">
        <v>113924.0</v>
      </c>
      <c r="D647" s="8" t="str">
        <f>+41.343341°</f>
        <v>#ERROR!</v>
      </c>
      <c r="E647" s="7" t="s">
        <v>1220</v>
      </c>
    </row>
    <row r="648">
      <c r="A648" s="3" t="s">
        <v>1143</v>
      </c>
      <c r="B648" s="4" t="s">
        <v>120</v>
      </c>
      <c r="C648" s="5">
        <v>16833.0</v>
      </c>
      <c r="D648" s="8" t="str">
        <f>+38.718954°</f>
        <v>#ERROR!</v>
      </c>
      <c r="E648" s="7" t="s">
        <v>1221</v>
      </c>
    </row>
    <row r="649">
      <c r="A649" s="3" t="s">
        <v>1143</v>
      </c>
      <c r="B649" s="4" t="s">
        <v>123</v>
      </c>
      <c r="C649" s="5">
        <v>36031.0</v>
      </c>
      <c r="D649" s="8" t="str">
        <f>+41.747442°</f>
        <v>#ERROR!</v>
      </c>
      <c r="E649" s="7" t="s">
        <v>1222</v>
      </c>
    </row>
    <row r="650">
      <c r="A650" s="3" t="s">
        <v>1143</v>
      </c>
      <c r="B650" s="4" t="s">
        <v>1223</v>
      </c>
      <c r="C650" s="5">
        <v>38950.0</v>
      </c>
      <c r="D650" s="8" t="str">
        <f>+40.894376°</f>
        <v>#ERROR!</v>
      </c>
      <c r="E650" s="7" t="s">
        <v>1224</v>
      </c>
    </row>
    <row r="651">
      <c r="A651" s="3" t="s">
        <v>1143</v>
      </c>
      <c r="B651" s="4" t="s">
        <v>346</v>
      </c>
      <c r="C651" s="5">
        <v>30305.0</v>
      </c>
      <c r="D651" s="8" t="str">
        <f>+40.129070°</f>
        <v>#ERROR!</v>
      </c>
      <c r="E651" s="7" t="s">
        <v>1225</v>
      </c>
    </row>
    <row r="652">
      <c r="A652" s="3" t="s">
        <v>1143</v>
      </c>
      <c r="B652" s="4" t="s">
        <v>1226</v>
      </c>
      <c r="C652" s="5">
        <v>32612.0</v>
      </c>
      <c r="D652" s="8" t="str">
        <f>+40.455789°</f>
        <v>#ERROR!</v>
      </c>
      <c r="E652" s="7" t="s">
        <v>1227</v>
      </c>
    </row>
    <row r="653">
      <c r="A653" s="3" t="s">
        <v>1143</v>
      </c>
      <c r="B653" s="4" t="s">
        <v>1228</v>
      </c>
      <c r="C653" s="5">
        <v>308760.0</v>
      </c>
      <c r="D653" s="8" t="str">
        <f>+42.324298°</f>
        <v>#ERROR!</v>
      </c>
      <c r="E653" s="7" t="s">
        <v>1229</v>
      </c>
    </row>
    <row r="654">
      <c r="A654" s="3" t="s">
        <v>1143</v>
      </c>
      <c r="B654" s="4" t="s">
        <v>1230</v>
      </c>
      <c r="C654" s="5">
        <v>169572.0</v>
      </c>
      <c r="D654" s="8" t="str">
        <f>+40.494559°</f>
        <v>#ERROR!</v>
      </c>
      <c r="E654" s="7" t="s">
        <v>1231</v>
      </c>
    </row>
    <row r="655">
      <c r="A655" s="3" t="s">
        <v>1143</v>
      </c>
      <c r="B655" s="4" t="s">
        <v>132</v>
      </c>
      <c r="C655" s="5">
        <v>110768.0</v>
      </c>
      <c r="D655" s="8" t="str">
        <f>+39.860237°</f>
        <v>#ERROR!</v>
      </c>
      <c r="E655" s="7" t="s">
        <v>1232</v>
      </c>
    </row>
    <row r="656">
      <c r="A656" s="3" t="s">
        <v>1143</v>
      </c>
      <c r="B656" s="4" t="s">
        <v>1233</v>
      </c>
      <c r="C656" s="5">
        <v>47765.0</v>
      </c>
      <c r="D656" s="8" t="str">
        <f>+39.265900°</f>
        <v>#ERROR!</v>
      </c>
      <c r="E656" s="7" t="s">
        <v>1234</v>
      </c>
    </row>
    <row r="657">
      <c r="A657" s="3" t="s">
        <v>1143</v>
      </c>
      <c r="B657" s="4" t="s">
        <v>135</v>
      </c>
      <c r="C657" s="5">
        <v>269282.0</v>
      </c>
      <c r="D657" s="8" t="str">
        <f>+38.827082°</f>
        <v>#ERROR!</v>
      </c>
      <c r="E657" s="7" t="s">
        <v>1235</v>
      </c>
    </row>
    <row r="658">
      <c r="A658" s="3" t="s">
        <v>1143</v>
      </c>
      <c r="B658" s="4" t="s">
        <v>141</v>
      </c>
      <c r="C658" s="5">
        <v>39437.0</v>
      </c>
      <c r="D658" s="8" t="str">
        <f>+38.648396°</f>
        <v>#ERROR!</v>
      </c>
      <c r="E658" s="7" t="s">
        <v>1236</v>
      </c>
    </row>
    <row r="659">
      <c r="A659" s="3" t="s">
        <v>1143</v>
      </c>
      <c r="B659" s="4" t="s">
        <v>143</v>
      </c>
      <c r="C659" s="5">
        <v>12640.0</v>
      </c>
      <c r="D659" s="8" t="str">
        <f>+41.031119°</f>
        <v>#ERROR!</v>
      </c>
      <c r="E659" s="7" t="s">
        <v>1237</v>
      </c>
    </row>
    <row r="660">
      <c r="A660" s="3" t="s">
        <v>1143</v>
      </c>
      <c r="B660" s="4" t="s">
        <v>1238</v>
      </c>
      <c r="C660" s="5">
        <v>14666.0</v>
      </c>
      <c r="D660" s="8" t="str">
        <f>+40.236993°</f>
        <v>#ERROR!</v>
      </c>
      <c r="E660" s="7" t="s">
        <v>1239</v>
      </c>
    </row>
    <row r="661">
      <c r="A661" s="3" t="s">
        <v>1143</v>
      </c>
      <c r="B661" s="4" t="s">
        <v>1240</v>
      </c>
      <c r="C661" s="5">
        <v>15429.0</v>
      </c>
      <c r="D661" s="8" t="str">
        <f>+37.216119°</f>
        <v>#ERROR!</v>
      </c>
      <c r="E661" s="7" t="s">
        <v>1241</v>
      </c>
    </row>
    <row r="662">
      <c r="A662" s="3" t="s">
        <v>1143</v>
      </c>
      <c r="B662" s="4" t="s">
        <v>1242</v>
      </c>
      <c r="C662" s="5">
        <v>12705.0</v>
      </c>
      <c r="D662" s="8" t="str">
        <f>+40.022569°</f>
        <v>#ERROR!</v>
      </c>
      <c r="E662" s="7" t="s">
        <v>1243</v>
      </c>
    </row>
    <row r="663">
      <c r="A663" s="3" t="s">
        <v>1143</v>
      </c>
      <c r="B663" s="4" t="s">
        <v>1244</v>
      </c>
      <c r="C663" s="5">
        <v>16434.0</v>
      </c>
      <c r="D663" s="8" t="str">
        <f>+41.204791°</f>
        <v>#ERROR!</v>
      </c>
      <c r="E663" s="7" t="s">
        <v>1245</v>
      </c>
    </row>
    <row r="664">
      <c r="A664" s="3" t="s">
        <v>1143</v>
      </c>
      <c r="B664" s="4" t="s">
        <v>147</v>
      </c>
      <c r="C664" s="5">
        <v>32957.0</v>
      </c>
      <c r="D664" s="8" t="str">
        <f>+38.277983°</f>
        <v>#ERROR!</v>
      </c>
      <c r="E664" s="7" t="s">
        <v>1246</v>
      </c>
    </row>
    <row r="665">
      <c r="A665" s="3" t="s">
        <v>1143</v>
      </c>
      <c r="B665" s="4" t="s">
        <v>149</v>
      </c>
      <c r="C665" s="5">
        <v>30104.0</v>
      </c>
      <c r="D665" s="8" t="str">
        <f>+39.228092°</f>
        <v>#ERROR!</v>
      </c>
      <c r="E665" s="7" t="s">
        <v>1247</v>
      </c>
    </row>
    <row r="666">
      <c r="A666" s="3" t="s">
        <v>1143</v>
      </c>
      <c r="B666" s="4" t="s">
        <v>151</v>
      </c>
      <c r="C666" s="5">
        <v>35547.0</v>
      </c>
      <c r="D666" s="8" t="str">
        <f>+39.716806°</f>
        <v>#ERROR!</v>
      </c>
      <c r="E666" s="7" t="s">
        <v>1248</v>
      </c>
    </row>
    <row r="667">
      <c r="A667" s="3" t="s">
        <v>1143</v>
      </c>
      <c r="B667" s="4" t="s">
        <v>1249</v>
      </c>
      <c r="C667" s="5">
        <v>14846.0</v>
      </c>
      <c r="D667" s="8" t="str">
        <f>+39.636896°</f>
        <v>#ERROR!</v>
      </c>
      <c r="E667" s="7" t="s">
        <v>1250</v>
      </c>
    </row>
    <row r="668">
      <c r="A668" s="3" t="s">
        <v>1143</v>
      </c>
      <c r="B668" s="4" t="s">
        <v>1251</v>
      </c>
      <c r="C668" s="5">
        <v>53497.0</v>
      </c>
      <c r="D668" s="8" t="str">
        <f>+42.041884°</f>
        <v>#ERROR!</v>
      </c>
      <c r="E668" s="7" t="s">
        <v>1252</v>
      </c>
    </row>
    <row r="669">
      <c r="A669" s="3" t="s">
        <v>1143</v>
      </c>
      <c r="B669" s="4" t="s">
        <v>1253</v>
      </c>
      <c r="C669" s="5">
        <v>186494.0</v>
      </c>
      <c r="D669" s="8" t="str">
        <f>+40.785999°</f>
        <v>#ERROR!</v>
      </c>
      <c r="E669" s="7" t="s">
        <v>1254</v>
      </c>
    </row>
    <row r="670">
      <c r="A670" s="3" t="s">
        <v>1143</v>
      </c>
      <c r="B670" s="4" t="s">
        <v>153</v>
      </c>
      <c r="C670" s="5">
        <v>22350.0</v>
      </c>
      <c r="D670" s="8" t="str">
        <f>+38.084385°</f>
        <v>#ERROR!</v>
      </c>
      <c r="E670" s="7" t="s">
        <v>1255</v>
      </c>
    </row>
    <row r="671">
      <c r="A671" s="3" t="s">
        <v>1143</v>
      </c>
      <c r="B671" s="4" t="s">
        <v>1256</v>
      </c>
      <c r="C671" s="5">
        <v>16729.0</v>
      </c>
      <c r="D671" s="8" t="str">
        <f>+40.009056°</f>
        <v>#ERROR!</v>
      </c>
      <c r="E671" s="7" t="s">
        <v>1257</v>
      </c>
    </row>
    <row r="672">
      <c r="A672" s="3" t="s">
        <v>1143</v>
      </c>
      <c r="B672" s="4" t="s">
        <v>157</v>
      </c>
      <c r="C672" s="5">
        <v>16430.0</v>
      </c>
      <c r="D672" s="8" t="str">
        <f>+39.625106°</f>
        <v>#ERROR!</v>
      </c>
      <c r="E672" s="7" t="s">
        <v>1258</v>
      </c>
    </row>
    <row r="673">
      <c r="A673" s="3" t="s">
        <v>1143</v>
      </c>
      <c r="B673" s="4" t="s">
        <v>372</v>
      </c>
      <c r="C673" s="5">
        <v>4470.0</v>
      </c>
      <c r="D673" s="8" t="str">
        <f>+37.417169°</f>
        <v>#ERROR!</v>
      </c>
      <c r="E673" s="7" t="s">
        <v>1259</v>
      </c>
    </row>
    <row r="674">
      <c r="A674" s="3" t="s">
        <v>1143</v>
      </c>
      <c r="B674" s="4" t="s">
        <v>376</v>
      </c>
      <c r="C674" s="5">
        <v>6161.0</v>
      </c>
      <c r="D674" s="8" t="str">
        <f>+37.215615°</f>
        <v>#ERROR!</v>
      </c>
      <c r="E674" s="7" t="s">
        <v>1260</v>
      </c>
    </row>
    <row r="675">
      <c r="A675" s="3" t="s">
        <v>1143</v>
      </c>
      <c r="B675" s="4" t="s">
        <v>760</v>
      </c>
      <c r="C675" s="5">
        <v>6006.0</v>
      </c>
      <c r="D675" s="8" t="str">
        <f>+41.198940°</f>
        <v>#ERROR!</v>
      </c>
      <c r="E675" s="7" t="s">
        <v>1261</v>
      </c>
    </row>
    <row r="676">
      <c r="A676" s="3" t="s">
        <v>1143</v>
      </c>
      <c r="B676" s="4" t="s">
        <v>159</v>
      </c>
      <c r="C676" s="5">
        <v>33476.0</v>
      </c>
      <c r="D676" s="8" t="str">
        <f>+38.056515°</f>
        <v>#ERROR!</v>
      </c>
      <c r="E676" s="7" t="s">
        <v>1262</v>
      </c>
    </row>
    <row r="677">
      <c r="A677" s="3" t="s">
        <v>1143</v>
      </c>
      <c r="B677" s="4" t="s">
        <v>1263</v>
      </c>
      <c r="C677" s="5">
        <v>16233.0</v>
      </c>
      <c r="D677" s="8" t="str">
        <f>+38.711550°</f>
        <v>#ERROR!</v>
      </c>
      <c r="E677" s="7" t="s">
        <v>1264</v>
      </c>
    </row>
    <row r="678">
      <c r="A678" s="3" t="s">
        <v>1143</v>
      </c>
      <c r="B678" s="4" t="s">
        <v>1265</v>
      </c>
      <c r="C678" s="5">
        <v>147546.0</v>
      </c>
      <c r="D678" s="8" t="str">
        <f>+41.468404°</f>
        <v>#ERROR!</v>
      </c>
      <c r="E678" s="7" t="s">
        <v>1266</v>
      </c>
    </row>
    <row r="679">
      <c r="A679" s="3" t="s">
        <v>1143</v>
      </c>
      <c r="B679" s="4" t="s">
        <v>163</v>
      </c>
      <c r="C679" s="5">
        <v>270056.0</v>
      </c>
      <c r="D679" s="8" t="str">
        <f>+38.470198°</f>
        <v>#ERROR!</v>
      </c>
      <c r="E679" s="7" t="s">
        <v>1267</v>
      </c>
    </row>
    <row r="680">
      <c r="A680" s="3" t="s">
        <v>1143</v>
      </c>
      <c r="B680" s="4" t="s">
        <v>381</v>
      </c>
      <c r="C680" s="5">
        <v>24913.0</v>
      </c>
      <c r="D680" s="8" t="str">
        <f>+37.751653°</f>
        <v>#ERROR!</v>
      </c>
      <c r="E680" s="7" t="s">
        <v>1268</v>
      </c>
    </row>
    <row r="681">
      <c r="A681" s="3" t="s">
        <v>1143</v>
      </c>
      <c r="B681" s="4" t="s">
        <v>1269</v>
      </c>
      <c r="C681" s="5">
        <v>197465.0</v>
      </c>
      <c r="D681" s="8" t="str">
        <f>+39.756378°</f>
        <v>#ERROR!</v>
      </c>
      <c r="E681" s="7" t="s">
        <v>1270</v>
      </c>
    </row>
    <row r="682">
      <c r="A682" s="3" t="s">
        <v>1143</v>
      </c>
      <c r="B682" s="4" t="s">
        <v>1271</v>
      </c>
      <c r="C682" s="5">
        <v>7544.0</v>
      </c>
      <c r="D682" s="8" t="str">
        <f>+40.156905°</f>
        <v>#ERROR!</v>
      </c>
      <c r="E682" s="7" t="s">
        <v>1272</v>
      </c>
    </row>
    <row r="683">
      <c r="A683" s="3" t="s">
        <v>1143</v>
      </c>
      <c r="B683" s="4" t="s">
        <v>383</v>
      </c>
      <c r="C683" s="5">
        <v>5355.0</v>
      </c>
      <c r="D683" s="8" t="str">
        <f>+39.636980°</f>
        <v>#ERROR!</v>
      </c>
      <c r="E683" s="7" t="s">
        <v>1273</v>
      </c>
    </row>
    <row r="684">
      <c r="A684" s="3" t="s">
        <v>1143</v>
      </c>
      <c r="B684" s="4" t="s">
        <v>165</v>
      </c>
      <c r="C684" s="5">
        <v>22363.0</v>
      </c>
      <c r="D684" s="8" t="str">
        <f>+39.384926°</f>
        <v>#ERROR!</v>
      </c>
      <c r="E684" s="7" t="s">
        <v>1274</v>
      </c>
    </row>
    <row r="685">
      <c r="A685" s="3" t="s">
        <v>1143</v>
      </c>
      <c r="B685" s="4" t="s">
        <v>1275</v>
      </c>
      <c r="C685" s="5">
        <v>5994.0</v>
      </c>
      <c r="D685" s="8" t="str">
        <f>+41.096908°</f>
        <v>#ERROR!</v>
      </c>
      <c r="E685" s="7" t="s">
        <v>1276</v>
      </c>
    </row>
    <row r="686">
      <c r="A686" s="3" t="s">
        <v>1143</v>
      </c>
      <c r="B686" s="4" t="s">
        <v>1277</v>
      </c>
      <c r="C686" s="5">
        <v>47711.0</v>
      </c>
      <c r="D686" s="8" t="str">
        <f>+42.349726°</f>
        <v>#ERROR!</v>
      </c>
      <c r="E686" s="7" t="s">
        <v>1278</v>
      </c>
    </row>
    <row r="687">
      <c r="A687" s="3" t="s">
        <v>1143</v>
      </c>
      <c r="B687" s="4" t="s">
        <v>1279</v>
      </c>
      <c r="C687" s="5">
        <v>135394.0</v>
      </c>
      <c r="D687" s="8" t="str">
        <f>+40.508074°</f>
        <v>#ERROR!</v>
      </c>
      <c r="E687" s="7" t="s">
        <v>1280</v>
      </c>
    </row>
    <row r="688">
      <c r="A688" s="3" t="s">
        <v>1143</v>
      </c>
      <c r="B688" s="4" t="s">
        <v>395</v>
      </c>
      <c r="C688" s="5">
        <v>17808.0</v>
      </c>
      <c r="D688" s="8" t="str">
        <f>+37.475104°</f>
        <v>#ERROR!</v>
      </c>
      <c r="E688" s="7" t="s">
        <v>1281</v>
      </c>
    </row>
    <row r="689">
      <c r="A689" s="3" t="s">
        <v>1143</v>
      </c>
      <c r="B689" s="4" t="s">
        <v>1282</v>
      </c>
      <c r="C689" s="5">
        <v>81625.0</v>
      </c>
      <c r="D689" s="8" t="str">
        <f>+40.186740°</f>
        <v>#ERROR!</v>
      </c>
      <c r="E689" s="7" t="s">
        <v>1283</v>
      </c>
    </row>
    <row r="690">
      <c r="A690" s="3" t="s">
        <v>1143</v>
      </c>
      <c r="B690" s="4" t="s">
        <v>1284</v>
      </c>
      <c r="C690" s="5">
        <v>11947.0</v>
      </c>
      <c r="D690" s="8" t="str">
        <f>+38.445821°</f>
        <v>#ERROR!</v>
      </c>
      <c r="E690" s="7" t="s">
        <v>1285</v>
      </c>
    </row>
    <row r="691">
      <c r="A691" s="3" t="s">
        <v>1143</v>
      </c>
      <c r="B691" s="4" t="s">
        <v>1035</v>
      </c>
      <c r="C691" s="5">
        <v>17707.0</v>
      </c>
      <c r="D691" s="8" t="str">
        <f>+40.850441°</f>
        <v>#ERROR!</v>
      </c>
      <c r="E691" s="7" t="s">
        <v>1286</v>
      </c>
    </row>
    <row r="692">
      <c r="A692" s="3" t="s">
        <v>1143</v>
      </c>
      <c r="B692" s="4" t="s">
        <v>177</v>
      </c>
      <c r="C692" s="5">
        <v>14716.0</v>
      </c>
      <c r="D692" s="8" t="str">
        <f>+38.353141°</f>
        <v>#ERROR!</v>
      </c>
      <c r="E692" s="7" t="s">
        <v>1287</v>
      </c>
    </row>
    <row r="693">
      <c r="A693" s="3" t="s">
        <v>1143</v>
      </c>
      <c r="B693" s="4" t="s">
        <v>1038</v>
      </c>
      <c r="C693" s="5">
        <v>16760.0</v>
      </c>
      <c r="D693" s="8" t="str">
        <f>+38.431948°</f>
        <v>#ERROR!</v>
      </c>
      <c r="E693" s="7" t="s">
        <v>1288</v>
      </c>
    </row>
    <row r="694">
      <c r="A694" s="3" t="s">
        <v>1143</v>
      </c>
      <c r="B694" s="4" t="s">
        <v>400</v>
      </c>
      <c r="C694" s="5">
        <v>14665.0</v>
      </c>
      <c r="D694" s="8" t="str">
        <f>+38.087372°</f>
        <v>#ERROR!</v>
      </c>
      <c r="E694" s="7" t="s">
        <v>1289</v>
      </c>
    </row>
    <row r="695">
      <c r="A695" s="3" t="s">
        <v>1143</v>
      </c>
      <c r="B695" s="4" t="s">
        <v>1290</v>
      </c>
      <c r="C695" s="5">
        <v>58498.0</v>
      </c>
      <c r="D695" s="8" t="str">
        <f>+41.750571°</f>
        <v>#ERROR!</v>
      </c>
      <c r="E695" s="7" t="s">
        <v>1291</v>
      </c>
    </row>
    <row r="696">
      <c r="A696" s="3" t="s">
        <v>1143</v>
      </c>
      <c r="B696" s="4" t="s">
        <v>1292</v>
      </c>
      <c r="C696" s="5">
        <v>677560.0</v>
      </c>
      <c r="D696" s="8" t="str">
        <f>+41.448474°</f>
        <v>#ERROR!</v>
      </c>
      <c r="E696" s="7" t="s">
        <v>1293</v>
      </c>
    </row>
    <row r="697">
      <c r="A697" s="3" t="s">
        <v>1143</v>
      </c>
      <c r="B697" s="4" t="s">
        <v>1294</v>
      </c>
      <c r="C697" s="5">
        <v>66357.0</v>
      </c>
      <c r="D697" s="8" t="str">
        <f>+37.730353°</f>
        <v>#ERROR!</v>
      </c>
      <c r="E697" s="7" t="s">
        <v>1295</v>
      </c>
    </row>
    <row r="698">
      <c r="A698" s="3" t="s">
        <v>1143</v>
      </c>
      <c r="B698" s="4" t="s">
        <v>1296</v>
      </c>
      <c r="C698" s="5">
        <v>295266.0</v>
      </c>
      <c r="D698" s="8" t="str">
        <f>+42.337396°</f>
        <v>#ERROR!</v>
      </c>
      <c r="E698" s="7" t="s">
        <v>1297</v>
      </c>
    </row>
    <row r="699">
      <c r="A699" s="3" t="s">
        <v>1143</v>
      </c>
      <c r="B699" s="4" t="s">
        <v>1298</v>
      </c>
      <c r="C699" s="5">
        <v>38664.0</v>
      </c>
      <c r="D699" s="8" t="str">
        <f>+40.789596°</f>
        <v>#ERROR!</v>
      </c>
      <c r="E699" s="7" t="s">
        <v>1299</v>
      </c>
    </row>
    <row r="700">
      <c r="A700" s="3" t="s">
        <v>1300</v>
      </c>
      <c r="B700" s="4" t="s">
        <v>522</v>
      </c>
      <c r="C700" s="5">
        <v>34387.0</v>
      </c>
      <c r="D700" s="8" t="str">
        <f>+40.745733°</f>
        <v>#ERROR!</v>
      </c>
      <c r="E700" s="7" t="s">
        <v>1301</v>
      </c>
    </row>
    <row r="701">
      <c r="A701" s="3" t="s">
        <v>1300</v>
      </c>
      <c r="B701" s="4" t="s">
        <v>1302</v>
      </c>
      <c r="C701" s="5">
        <v>355329.0</v>
      </c>
      <c r="D701" s="8" t="str">
        <f>+41.091855°</f>
        <v>#ERROR!</v>
      </c>
      <c r="E701" s="7" t="s">
        <v>1303</v>
      </c>
    </row>
    <row r="702">
      <c r="A702" s="3" t="s">
        <v>1300</v>
      </c>
      <c r="B702" s="4" t="s">
        <v>1304</v>
      </c>
      <c r="C702" s="5">
        <v>76794.0</v>
      </c>
      <c r="D702" s="8" t="str">
        <f>+39.205843°</f>
        <v>#ERROR!</v>
      </c>
      <c r="E702" s="7" t="s">
        <v>1305</v>
      </c>
    </row>
    <row r="703">
      <c r="A703" s="3" t="s">
        <v>1300</v>
      </c>
      <c r="B703" s="4" t="s">
        <v>280</v>
      </c>
      <c r="C703" s="5">
        <v>8854.0</v>
      </c>
      <c r="D703" s="8" t="str">
        <f>+40.608253°</f>
        <v>#ERROR!</v>
      </c>
      <c r="E703" s="7" t="s">
        <v>1306</v>
      </c>
    </row>
    <row r="704">
      <c r="A704" s="3" t="s">
        <v>1300</v>
      </c>
      <c r="B704" s="4" t="s">
        <v>1307</v>
      </c>
      <c r="C704" s="5">
        <v>12766.0</v>
      </c>
      <c r="D704" s="8" t="str">
        <f>+40.472672°</f>
        <v>#ERROR!</v>
      </c>
      <c r="E704" s="7" t="s">
        <v>1308</v>
      </c>
    </row>
    <row r="705">
      <c r="A705" s="3" t="s">
        <v>1300</v>
      </c>
      <c r="B705" s="4" t="s">
        <v>282</v>
      </c>
      <c r="C705" s="5">
        <v>56640.0</v>
      </c>
      <c r="D705" s="8" t="str">
        <f>+40.050892°</f>
        <v>#ERROR!</v>
      </c>
      <c r="E705" s="7" t="s">
        <v>1309</v>
      </c>
    </row>
    <row r="706">
      <c r="A706" s="3" t="s">
        <v>1300</v>
      </c>
      <c r="B706" s="4" t="s">
        <v>1150</v>
      </c>
      <c r="C706" s="5">
        <v>15242.0</v>
      </c>
      <c r="D706" s="8" t="str">
        <f>+39.192585°</f>
        <v>#ERROR!</v>
      </c>
      <c r="E706" s="7" t="s">
        <v>1310</v>
      </c>
    </row>
    <row r="707">
      <c r="A707" s="3" t="s">
        <v>1300</v>
      </c>
      <c r="B707" s="4" t="s">
        <v>287</v>
      </c>
      <c r="C707" s="5">
        <v>20155.0</v>
      </c>
      <c r="D707" s="8" t="str">
        <f>+40.584980°</f>
        <v>#ERROR!</v>
      </c>
      <c r="E707" s="7" t="s">
        <v>1311</v>
      </c>
    </row>
    <row r="708">
      <c r="A708" s="3" t="s">
        <v>1300</v>
      </c>
      <c r="B708" s="4" t="s">
        <v>1156</v>
      </c>
      <c r="C708" s="5">
        <v>38966.0</v>
      </c>
      <c r="D708" s="8" t="str">
        <f>+40.753799°</f>
        <v>#ERROR!</v>
      </c>
      <c r="E708" s="7" t="s">
        <v>1312</v>
      </c>
    </row>
    <row r="709">
      <c r="A709" s="3" t="s">
        <v>1300</v>
      </c>
      <c r="B709" s="4" t="s">
        <v>291</v>
      </c>
      <c r="C709" s="5">
        <v>110232.0</v>
      </c>
      <c r="D709" s="8" t="str">
        <f>+38.476217°</f>
        <v>#ERROR!</v>
      </c>
      <c r="E709" s="7" t="s">
        <v>1313</v>
      </c>
    </row>
    <row r="710">
      <c r="A710" s="3" t="s">
        <v>1300</v>
      </c>
      <c r="B710" s="4" t="s">
        <v>42</v>
      </c>
      <c r="C710" s="5">
        <v>26890.0</v>
      </c>
      <c r="D710" s="8" t="str">
        <f>+39.393951°</f>
        <v>#ERROR!</v>
      </c>
      <c r="E710" s="7" t="s">
        <v>1314</v>
      </c>
    </row>
    <row r="711">
      <c r="A711" s="3" t="s">
        <v>1300</v>
      </c>
      <c r="B711" s="4" t="s">
        <v>1164</v>
      </c>
      <c r="C711" s="5">
        <v>33224.0</v>
      </c>
      <c r="D711" s="8" t="str">
        <f>+40.305944°</f>
        <v>#ERROR!</v>
      </c>
      <c r="E711" s="7" t="s">
        <v>1315</v>
      </c>
    </row>
    <row r="712">
      <c r="A712" s="3" t="s">
        <v>1300</v>
      </c>
      <c r="B712" s="4" t="s">
        <v>303</v>
      </c>
      <c r="C712" s="5">
        <v>10713.0</v>
      </c>
      <c r="D712" s="8" t="str">
        <f>+38.289433°</f>
        <v>#ERROR!</v>
      </c>
      <c r="E712" s="7" t="s">
        <v>1316</v>
      </c>
    </row>
    <row r="713">
      <c r="A713" s="3" t="s">
        <v>1300</v>
      </c>
      <c r="B713" s="4" t="s">
        <v>1317</v>
      </c>
      <c r="C713" s="5">
        <v>31648.0</v>
      </c>
      <c r="D713" s="8" t="str">
        <f>+38.696155°</f>
        <v>#ERROR!</v>
      </c>
      <c r="E713" s="7" t="s">
        <v>1318</v>
      </c>
    </row>
    <row r="714">
      <c r="A714" s="3" t="s">
        <v>1300</v>
      </c>
      <c r="B714" s="4" t="s">
        <v>1319</v>
      </c>
      <c r="C714" s="5">
        <v>50047.0</v>
      </c>
      <c r="D714" s="8" t="str">
        <f>+39.151491°</f>
        <v>#ERROR!</v>
      </c>
      <c r="E714" s="7" t="s">
        <v>1320</v>
      </c>
    </row>
    <row r="715">
      <c r="A715" s="3" t="s">
        <v>1300</v>
      </c>
      <c r="B715" s="4" t="s">
        <v>860</v>
      </c>
      <c r="C715" s="5">
        <v>25740.0</v>
      </c>
      <c r="D715" s="8" t="str">
        <f>+39.305980°</f>
        <v>#ERROR!</v>
      </c>
      <c r="E715" s="7" t="s">
        <v>1321</v>
      </c>
    </row>
    <row r="716">
      <c r="A716" s="3" t="s">
        <v>1300</v>
      </c>
      <c r="B716" s="4" t="s">
        <v>75</v>
      </c>
      <c r="C716" s="5">
        <v>42223.0</v>
      </c>
      <c r="D716" s="8" t="str">
        <f>+41.401189°</f>
        <v>#ERROR!</v>
      </c>
      <c r="E716" s="7" t="s">
        <v>1322</v>
      </c>
    </row>
    <row r="717">
      <c r="A717" s="3" t="s">
        <v>1300</v>
      </c>
      <c r="B717" s="4" t="s">
        <v>1323</v>
      </c>
      <c r="C717" s="5">
        <v>117671.0</v>
      </c>
      <c r="D717" s="8" t="str">
        <f>+40.227165°</f>
        <v>#ERROR!</v>
      </c>
      <c r="E717" s="7" t="s">
        <v>1324</v>
      </c>
    </row>
    <row r="718">
      <c r="A718" s="3" t="s">
        <v>1300</v>
      </c>
      <c r="B718" s="4" t="s">
        <v>1325</v>
      </c>
      <c r="C718" s="5">
        <v>41889.0</v>
      </c>
      <c r="D718" s="8" t="str">
        <f>+38.373344°</f>
        <v>#ERROR!</v>
      </c>
      <c r="E718" s="7" t="s">
        <v>1326</v>
      </c>
    </row>
    <row r="719">
      <c r="A719" s="3" t="s">
        <v>1300</v>
      </c>
      <c r="B719" s="4" t="s">
        <v>1327</v>
      </c>
      <c r="C719" s="5">
        <v>197559.0</v>
      </c>
      <c r="D719" s="8" t="str">
        <f>+41.600693°</f>
        <v>#ERROR!</v>
      </c>
      <c r="E719" s="7" t="s">
        <v>1328</v>
      </c>
    </row>
    <row r="720">
      <c r="A720" s="3" t="s">
        <v>1300</v>
      </c>
      <c r="B720" s="4" t="s">
        <v>87</v>
      </c>
      <c r="C720" s="5">
        <v>24277.0</v>
      </c>
      <c r="D720" s="8" t="str">
        <f>+39.639655°</f>
        <v>#ERROR!</v>
      </c>
      <c r="E720" s="7" t="s">
        <v>1329</v>
      </c>
    </row>
    <row r="721">
      <c r="A721" s="3" t="s">
        <v>1300</v>
      </c>
      <c r="B721" s="4" t="s">
        <v>884</v>
      </c>
      <c r="C721" s="5">
        <v>74578.0</v>
      </c>
      <c r="D721" s="8" t="str">
        <f>+38.317937°</f>
        <v>#ERROR!</v>
      </c>
      <c r="E721" s="7" t="s">
        <v>1330</v>
      </c>
    </row>
    <row r="722">
      <c r="A722" s="3" t="s">
        <v>1300</v>
      </c>
      <c r="B722" s="4" t="s">
        <v>1331</v>
      </c>
      <c r="C722" s="5">
        <v>17240.0</v>
      </c>
      <c r="D722" s="8" t="str">
        <f>+40.121282°</f>
        <v>#ERROR!</v>
      </c>
      <c r="E722" s="7" t="s">
        <v>1332</v>
      </c>
    </row>
    <row r="723">
      <c r="A723" s="3" t="s">
        <v>1300</v>
      </c>
      <c r="B723" s="4" t="s">
        <v>90</v>
      </c>
      <c r="C723" s="5">
        <v>23087.0</v>
      </c>
      <c r="D723" s="8" t="str">
        <f>+39.409762°</f>
        <v>#ERROR!</v>
      </c>
      <c r="E723" s="7" t="s">
        <v>1333</v>
      </c>
    </row>
    <row r="724">
      <c r="A724" s="3" t="s">
        <v>1300</v>
      </c>
      <c r="B724" s="4" t="s">
        <v>317</v>
      </c>
      <c r="C724" s="5">
        <v>20836.0</v>
      </c>
      <c r="D724" s="8" t="str">
        <f>+41.050384°</f>
        <v>#ERROR!</v>
      </c>
      <c r="E724" s="7" t="s">
        <v>1334</v>
      </c>
    </row>
    <row r="725">
      <c r="A725" s="3" t="s">
        <v>1300</v>
      </c>
      <c r="B725" s="4" t="s">
        <v>1335</v>
      </c>
      <c r="C725" s="5">
        <v>33503.0</v>
      </c>
      <c r="D725" s="8" t="str">
        <f>+38.317413°</f>
        <v>#ERROR!</v>
      </c>
      <c r="E725" s="7" t="s">
        <v>1336</v>
      </c>
    </row>
    <row r="726">
      <c r="A726" s="3" t="s">
        <v>1300</v>
      </c>
      <c r="B726" s="4" t="s">
        <v>321</v>
      </c>
      <c r="C726" s="5">
        <v>70061.0</v>
      </c>
      <c r="D726" s="8" t="str">
        <f>+40.515758°</f>
        <v>#ERROR!</v>
      </c>
      <c r="E726" s="7" t="s">
        <v>1337</v>
      </c>
    </row>
    <row r="727">
      <c r="A727" s="3" t="s">
        <v>1300</v>
      </c>
      <c r="B727" s="4" t="s">
        <v>96</v>
      </c>
      <c r="C727" s="5">
        <v>33165.0</v>
      </c>
      <c r="D727" s="8" t="str">
        <f>+39.048600°</f>
        <v>#ERROR!</v>
      </c>
      <c r="E727" s="7" t="s">
        <v>1338</v>
      </c>
    </row>
    <row r="728">
      <c r="A728" s="3" t="s">
        <v>1300</v>
      </c>
      <c r="B728" s="4" t="s">
        <v>708</v>
      </c>
      <c r="C728" s="5">
        <v>274569.0</v>
      </c>
      <c r="D728" s="8" t="str">
        <f>+40.049870°</f>
        <v>#ERROR!</v>
      </c>
      <c r="E728" s="7" t="s">
        <v>1339</v>
      </c>
    </row>
    <row r="729">
      <c r="A729" s="3" t="s">
        <v>1300</v>
      </c>
      <c r="B729" s="4" t="s">
        <v>907</v>
      </c>
      <c r="C729" s="5">
        <v>70002.0</v>
      </c>
      <c r="D729" s="8" t="str">
        <f>+39.822604°</f>
        <v>#ERROR!</v>
      </c>
      <c r="E729" s="7" t="s">
        <v>1340</v>
      </c>
    </row>
    <row r="730">
      <c r="A730" s="3" t="s">
        <v>1300</v>
      </c>
      <c r="B730" s="4" t="s">
        <v>1341</v>
      </c>
      <c r="C730" s="5">
        <v>39364.0</v>
      </c>
      <c r="D730" s="8" t="str">
        <f>+38.186440°</f>
        <v>#ERROR!</v>
      </c>
      <c r="E730" s="7" t="s">
        <v>1342</v>
      </c>
    </row>
    <row r="731">
      <c r="A731" s="3" t="s">
        <v>1300</v>
      </c>
      <c r="B731" s="4" t="s">
        <v>1343</v>
      </c>
      <c r="C731" s="5">
        <v>145448.0</v>
      </c>
      <c r="D731" s="8" t="str">
        <f>+39.768749°</f>
        <v>#ERROR!</v>
      </c>
      <c r="E731" s="7" t="s">
        <v>1344</v>
      </c>
    </row>
    <row r="732">
      <c r="A732" s="3" t="s">
        <v>1300</v>
      </c>
      <c r="B732" s="4" t="s">
        <v>102</v>
      </c>
      <c r="C732" s="5">
        <v>49462.0</v>
      </c>
      <c r="D732" s="8" t="str">
        <f>+39.929576°</f>
        <v>#ERROR!</v>
      </c>
      <c r="E732" s="7" t="s">
        <v>1345</v>
      </c>
    </row>
    <row r="733">
      <c r="A733" s="3" t="s">
        <v>1300</v>
      </c>
      <c r="B733" s="4" t="s">
        <v>328</v>
      </c>
      <c r="C733" s="5">
        <v>82752.0</v>
      </c>
      <c r="D733" s="8" t="str">
        <f>+40.483537°</f>
        <v>#ERROR!</v>
      </c>
      <c r="E733" s="7" t="s">
        <v>1346</v>
      </c>
    </row>
    <row r="734">
      <c r="A734" s="3" t="s">
        <v>1300</v>
      </c>
      <c r="B734" s="4" t="s">
        <v>1347</v>
      </c>
      <c r="C734" s="5">
        <v>37124.0</v>
      </c>
      <c r="D734" s="8" t="str">
        <f>+40.826394°</f>
        <v>#ERROR!</v>
      </c>
      <c r="E734" s="7" t="s">
        <v>1348</v>
      </c>
    </row>
    <row r="735">
      <c r="A735" s="3" t="s">
        <v>1300</v>
      </c>
      <c r="B735" s="4" t="s">
        <v>108</v>
      </c>
      <c r="C735" s="5">
        <v>42376.0</v>
      </c>
      <c r="D735" s="8" t="str">
        <f>+38.911957°</f>
        <v>#ERROR!</v>
      </c>
      <c r="E735" s="7" t="s">
        <v>1349</v>
      </c>
    </row>
    <row r="736">
      <c r="A736" s="3" t="s">
        <v>1300</v>
      </c>
      <c r="B736" s="4" t="s">
        <v>922</v>
      </c>
      <c r="C736" s="5">
        <v>33478.0</v>
      </c>
      <c r="D736" s="8" t="str">
        <f>+41.017688°</f>
        <v>#ERROR!</v>
      </c>
      <c r="E736" s="7" t="s">
        <v>1350</v>
      </c>
    </row>
    <row r="737">
      <c r="A737" s="3" t="s">
        <v>1300</v>
      </c>
      <c r="B737" s="4" t="s">
        <v>1351</v>
      </c>
      <c r="C737" s="5">
        <v>21253.0</v>
      </c>
      <c r="D737" s="8" t="str">
        <f>+40.434972°</f>
        <v>#ERROR!</v>
      </c>
      <c r="E737" s="7" t="s">
        <v>1352</v>
      </c>
    </row>
    <row r="738">
      <c r="A738" s="3" t="s">
        <v>1300</v>
      </c>
      <c r="B738" s="4" t="s">
        <v>111</v>
      </c>
      <c r="C738" s="5">
        <v>32428.0</v>
      </c>
      <c r="D738" s="8" t="str">
        <f>+38.783604°</f>
        <v>#ERROR!</v>
      </c>
      <c r="E738" s="7" t="s">
        <v>1353</v>
      </c>
    </row>
    <row r="739">
      <c r="A739" s="3" t="s">
        <v>1300</v>
      </c>
      <c r="B739" s="4" t="s">
        <v>1354</v>
      </c>
      <c r="C739" s="5">
        <v>28525.0</v>
      </c>
      <c r="D739" s="8" t="str">
        <f>+38.996234°</f>
        <v>#ERROR!</v>
      </c>
      <c r="E739" s="7" t="s">
        <v>1355</v>
      </c>
    </row>
    <row r="740">
      <c r="A740" s="3" t="s">
        <v>1300</v>
      </c>
      <c r="B740" s="4" t="s">
        <v>336</v>
      </c>
      <c r="C740" s="5">
        <v>139654.0</v>
      </c>
      <c r="D740" s="8" t="str">
        <f>+39.495986°</f>
        <v>#ERROR!</v>
      </c>
      <c r="E740" s="7" t="s">
        <v>1356</v>
      </c>
    </row>
    <row r="741">
      <c r="A741" s="3" t="s">
        <v>1300</v>
      </c>
      <c r="B741" s="4" t="s">
        <v>1216</v>
      </c>
      <c r="C741" s="5">
        <v>38440.0</v>
      </c>
      <c r="D741" s="8" t="str">
        <f>+38.688663°</f>
        <v>#ERROR!</v>
      </c>
      <c r="E741" s="7" t="s">
        <v>1357</v>
      </c>
    </row>
    <row r="742">
      <c r="A742" s="3" t="s">
        <v>1300</v>
      </c>
      <c r="B742" s="4" t="s">
        <v>1358</v>
      </c>
      <c r="C742" s="5">
        <v>77358.0</v>
      </c>
      <c r="D742" s="8" t="str">
        <f>+41.244293°</f>
        <v>#ERROR!</v>
      </c>
      <c r="E742" s="7" t="s">
        <v>1359</v>
      </c>
    </row>
    <row r="743">
      <c r="A743" s="3" t="s">
        <v>1300</v>
      </c>
      <c r="B743" s="4" t="s">
        <v>1360</v>
      </c>
      <c r="C743" s="5">
        <v>37128.0</v>
      </c>
      <c r="D743" s="8" t="str">
        <f>+41.642468°</f>
        <v>#ERROR!</v>
      </c>
      <c r="E743" s="7" t="s">
        <v>1361</v>
      </c>
    </row>
    <row r="744">
      <c r="A744" s="3" t="s">
        <v>1300</v>
      </c>
      <c r="B744" s="4" t="s">
        <v>439</v>
      </c>
      <c r="C744" s="5">
        <v>496005.0</v>
      </c>
      <c r="D744" s="8" t="str">
        <f>+41.472239°</f>
        <v>#ERROR!</v>
      </c>
      <c r="E744" s="7" t="s">
        <v>1362</v>
      </c>
    </row>
    <row r="745">
      <c r="A745" s="3" t="s">
        <v>1300</v>
      </c>
      <c r="B745" s="4" t="s">
        <v>1363</v>
      </c>
      <c r="C745" s="5">
        <v>111467.0</v>
      </c>
      <c r="D745" s="8" t="str">
        <f>+41.549011°</f>
        <v>#ERROR!</v>
      </c>
      <c r="E745" s="7" t="s">
        <v>1364</v>
      </c>
    </row>
    <row r="746">
      <c r="A746" s="3" t="s">
        <v>1300</v>
      </c>
      <c r="B746" s="4" t="s">
        <v>120</v>
      </c>
      <c r="C746" s="5">
        <v>46134.0</v>
      </c>
      <c r="D746" s="8" t="str">
        <f>+38.839815°</f>
        <v>#ERROR!</v>
      </c>
      <c r="E746" s="7" t="s">
        <v>1365</v>
      </c>
    </row>
    <row r="747">
      <c r="A747" s="3" t="s">
        <v>1300</v>
      </c>
      <c r="B747" s="4" t="s">
        <v>135</v>
      </c>
      <c r="C747" s="5">
        <v>131636.0</v>
      </c>
      <c r="D747" s="8" t="str">
        <f>+40.166203°</f>
        <v>#ERROR!</v>
      </c>
      <c r="E747" s="7" t="s">
        <v>1366</v>
      </c>
    </row>
    <row r="748">
      <c r="A748" s="3" t="s">
        <v>1300</v>
      </c>
      <c r="B748" s="4" t="s">
        <v>141</v>
      </c>
      <c r="C748" s="5">
        <v>903393.0</v>
      </c>
      <c r="D748" s="8" t="str">
        <f>+39.782976°</f>
        <v>#ERROR!</v>
      </c>
      <c r="E748" s="7" t="s">
        <v>1367</v>
      </c>
    </row>
    <row r="749">
      <c r="A749" s="3" t="s">
        <v>1300</v>
      </c>
      <c r="B749" s="4" t="s">
        <v>143</v>
      </c>
      <c r="C749" s="5">
        <v>47051.0</v>
      </c>
      <c r="D749" s="8" t="str">
        <f>+41.325003°</f>
        <v>#ERROR!</v>
      </c>
      <c r="E749" s="7" t="s">
        <v>1368</v>
      </c>
    </row>
    <row r="750">
      <c r="A750" s="3" t="s">
        <v>1300</v>
      </c>
      <c r="B750" s="4" t="s">
        <v>739</v>
      </c>
      <c r="C750" s="5">
        <v>10334.0</v>
      </c>
      <c r="D750" s="8" t="str">
        <f>+38.705322°</f>
        <v>#ERROR!</v>
      </c>
      <c r="E750" s="7" t="s">
        <v>1369</v>
      </c>
    </row>
    <row r="751">
      <c r="A751" s="3" t="s">
        <v>1300</v>
      </c>
      <c r="B751" s="4" t="s">
        <v>1370</v>
      </c>
      <c r="C751" s="5">
        <v>36903.0</v>
      </c>
      <c r="D751" s="8" t="str">
        <f>+40.772881°</f>
        <v>#ERROR!</v>
      </c>
      <c r="E751" s="7" t="s">
        <v>1371</v>
      </c>
    </row>
    <row r="752">
      <c r="A752" s="3" t="s">
        <v>1300</v>
      </c>
      <c r="B752" s="4" t="s">
        <v>147</v>
      </c>
      <c r="C752" s="5">
        <v>137974.0</v>
      </c>
      <c r="D752" s="8" t="str">
        <f>+39.160751°</f>
        <v>#ERROR!</v>
      </c>
      <c r="E752" s="7" t="s">
        <v>1372</v>
      </c>
    </row>
    <row r="753">
      <c r="A753" s="3" t="s">
        <v>1300</v>
      </c>
      <c r="B753" s="4" t="s">
        <v>149</v>
      </c>
      <c r="C753" s="5">
        <v>38124.0</v>
      </c>
      <c r="D753" s="8" t="str">
        <f>+40.040296°</f>
        <v>#ERROR!</v>
      </c>
      <c r="E753" s="7" t="s">
        <v>1373</v>
      </c>
    </row>
    <row r="754">
      <c r="A754" s="3" t="s">
        <v>1300</v>
      </c>
      <c r="B754" s="4" t="s">
        <v>151</v>
      </c>
      <c r="C754" s="5">
        <v>68894.0</v>
      </c>
      <c r="D754" s="8" t="str">
        <f>+39.482646°</f>
        <v>#ERROR!</v>
      </c>
      <c r="E754" s="7" t="s">
        <v>1374</v>
      </c>
    </row>
    <row r="755">
      <c r="A755" s="3" t="s">
        <v>1300</v>
      </c>
      <c r="B755" s="4" t="s">
        <v>360</v>
      </c>
      <c r="C755" s="5">
        <v>14244.0</v>
      </c>
      <c r="D755" s="8" t="str">
        <f>+40.962399°</f>
        <v>#ERROR!</v>
      </c>
      <c r="E755" s="7" t="s">
        <v>1375</v>
      </c>
    </row>
    <row r="756">
      <c r="A756" s="3" t="s">
        <v>1300</v>
      </c>
      <c r="B756" s="4" t="s">
        <v>1376</v>
      </c>
      <c r="C756" s="5">
        <v>47536.0</v>
      </c>
      <c r="D756" s="8" t="str">
        <f>+41.400794°</f>
        <v>#ERROR!</v>
      </c>
      <c r="E756" s="7" t="s">
        <v>1377</v>
      </c>
    </row>
    <row r="757">
      <c r="A757" s="3" t="s">
        <v>1300</v>
      </c>
      <c r="B757" s="4" t="s">
        <v>1378</v>
      </c>
      <c r="C757" s="5">
        <v>6128.0</v>
      </c>
      <c r="D757" s="8" t="str">
        <f>+38.940527°</f>
        <v>#ERROR!</v>
      </c>
      <c r="E757" s="7" t="s">
        <v>1379</v>
      </c>
    </row>
    <row r="758">
      <c r="A758" s="3" t="s">
        <v>1300</v>
      </c>
      <c r="B758" s="4" t="s">
        <v>464</v>
      </c>
      <c r="C758" s="5">
        <v>19840.0</v>
      </c>
      <c r="D758" s="8" t="str">
        <f>+38.547381°</f>
        <v>#ERROR!</v>
      </c>
      <c r="E758" s="7" t="s">
        <v>1380</v>
      </c>
    </row>
    <row r="759">
      <c r="A759" s="3" t="s">
        <v>1300</v>
      </c>
      <c r="B759" s="4" t="s">
        <v>1381</v>
      </c>
      <c r="C759" s="5">
        <v>21575.0</v>
      </c>
      <c r="D759" s="8" t="str">
        <f>+39.317339°</f>
        <v>#ERROR!</v>
      </c>
      <c r="E759" s="7" t="s">
        <v>1382</v>
      </c>
    </row>
    <row r="760">
      <c r="A760" s="3" t="s">
        <v>1300</v>
      </c>
      <c r="B760" s="4" t="s">
        <v>1383</v>
      </c>
      <c r="C760" s="5">
        <v>17339.0</v>
      </c>
      <c r="D760" s="8" t="str">
        <f>+39.774250°</f>
        <v>#ERROR!</v>
      </c>
      <c r="E760" s="7" t="s">
        <v>1384</v>
      </c>
    </row>
    <row r="761">
      <c r="A761" s="3" t="s">
        <v>1300</v>
      </c>
      <c r="B761" s="4" t="s">
        <v>153</v>
      </c>
      <c r="C761" s="5">
        <v>19338.0</v>
      </c>
      <c r="D761" s="8" t="str">
        <f>+38.081436°</f>
        <v>#ERROR!</v>
      </c>
      <c r="E761" s="7" t="s">
        <v>1385</v>
      </c>
    </row>
    <row r="762">
      <c r="A762" s="3" t="s">
        <v>1300</v>
      </c>
      <c r="B762" s="4" t="s">
        <v>157</v>
      </c>
      <c r="C762" s="5">
        <v>12845.0</v>
      </c>
      <c r="D762" s="8" t="str">
        <f>+38.397898°</f>
        <v>#ERROR!</v>
      </c>
      <c r="E762" s="7" t="s">
        <v>1386</v>
      </c>
    </row>
    <row r="763">
      <c r="A763" s="3" t="s">
        <v>1300</v>
      </c>
      <c r="B763" s="4" t="s">
        <v>1387</v>
      </c>
      <c r="C763" s="5">
        <v>164343.0</v>
      </c>
      <c r="D763" s="8" t="str">
        <f>+41.509922°</f>
        <v>#ERROR!</v>
      </c>
      <c r="E763" s="7" t="s">
        <v>1388</v>
      </c>
    </row>
    <row r="764">
      <c r="A764" s="3" t="s">
        <v>1300</v>
      </c>
      <c r="B764" s="4" t="s">
        <v>1389</v>
      </c>
      <c r="C764" s="5">
        <v>25910.0</v>
      </c>
      <c r="D764" s="8" t="str">
        <f>+38.027614°</f>
        <v>#ERROR!</v>
      </c>
      <c r="E764" s="7" t="s">
        <v>1390</v>
      </c>
    </row>
    <row r="765">
      <c r="A765" s="3" t="s">
        <v>1300</v>
      </c>
      <c r="B765" s="4" t="s">
        <v>376</v>
      </c>
      <c r="C765" s="5">
        <v>13402.0</v>
      </c>
      <c r="D765" s="8" t="str">
        <f>+41.045272°</f>
        <v>#ERROR!</v>
      </c>
      <c r="E765" s="7" t="s">
        <v>1391</v>
      </c>
    </row>
    <row r="766">
      <c r="A766" s="3" t="s">
        <v>1300</v>
      </c>
      <c r="B766" s="4" t="s">
        <v>760</v>
      </c>
      <c r="C766" s="5">
        <v>37963.0</v>
      </c>
      <c r="D766" s="8" t="str">
        <f>+39.665545°</f>
        <v>#ERROR!</v>
      </c>
      <c r="E766" s="7" t="s">
        <v>1392</v>
      </c>
    </row>
    <row r="767">
      <c r="A767" s="3" t="s">
        <v>1300</v>
      </c>
      <c r="B767" s="4" t="s">
        <v>159</v>
      </c>
      <c r="C767" s="5">
        <v>26171.0</v>
      </c>
      <c r="D767" s="8" t="str">
        <f>+40.164414°</f>
        <v>#ERROR!</v>
      </c>
      <c r="E767" s="7" t="s">
        <v>1393</v>
      </c>
    </row>
    <row r="768">
      <c r="A768" s="3" t="s">
        <v>1300</v>
      </c>
      <c r="B768" s="4" t="s">
        <v>1394</v>
      </c>
      <c r="C768" s="5">
        <v>28818.0</v>
      </c>
      <c r="D768" s="8" t="str">
        <f>+39.100230°</f>
        <v>#ERROR!</v>
      </c>
      <c r="E768" s="7" t="s">
        <v>1395</v>
      </c>
    </row>
    <row r="769">
      <c r="A769" s="3" t="s">
        <v>1300</v>
      </c>
      <c r="B769" s="4" t="s">
        <v>1396</v>
      </c>
      <c r="C769" s="5">
        <v>17392.0</v>
      </c>
      <c r="D769" s="8" t="str">
        <f>+39.622312°</f>
        <v>#ERROR!</v>
      </c>
      <c r="E769" s="7" t="s">
        <v>1397</v>
      </c>
    </row>
    <row r="770">
      <c r="A770" s="3" t="s">
        <v>1300</v>
      </c>
      <c r="B770" s="4" t="s">
        <v>1398</v>
      </c>
      <c r="C770" s="5">
        <v>266931.0</v>
      </c>
      <c r="D770" s="8" t="str">
        <f>+41.617699°</f>
        <v>#ERROR!</v>
      </c>
      <c r="E770" s="7" t="s">
        <v>1399</v>
      </c>
    </row>
    <row r="771">
      <c r="A771" s="3" t="s">
        <v>1300</v>
      </c>
      <c r="B771" s="4" t="s">
        <v>383</v>
      </c>
      <c r="C771" s="5">
        <v>24181.0</v>
      </c>
      <c r="D771" s="8" t="str">
        <f>+38.679431°</f>
        <v>#ERROR!</v>
      </c>
      <c r="E771" s="7" t="s">
        <v>1400</v>
      </c>
    </row>
    <row r="772">
      <c r="A772" s="3" t="s">
        <v>1300</v>
      </c>
      <c r="B772" s="4" t="s">
        <v>165</v>
      </c>
      <c r="C772" s="5">
        <v>44436.0</v>
      </c>
      <c r="D772" s="8" t="str">
        <f>+39.524135°</f>
        <v>#ERROR!</v>
      </c>
      <c r="E772" s="7" t="s">
        <v>1401</v>
      </c>
    </row>
    <row r="773">
      <c r="A773" s="3" t="s">
        <v>1300</v>
      </c>
      <c r="B773" s="4" t="s">
        <v>1402</v>
      </c>
      <c r="C773" s="5">
        <v>20952.0</v>
      </c>
      <c r="D773" s="8" t="str">
        <f>+38.009789°</f>
        <v>#ERROR!</v>
      </c>
      <c r="E773" s="7" t="s">
        <v>1403</v>
      </c>
    </row>
    <row r="774">
      <c r="A774" s="3" t="s">
        <v>1300</v>
      </c>
      <c r="B774" s="4" t="s">
        <v>1404</v>
      </c>
      <c r="C774" s="5">
        <v>23363.0</v>
      </c>
      <c r="D774" s="8" t="str">
        <f>+41.283220°</f>
        <v>#ERROR!</v>
      </c>
      <c r="E774" s="7" t="s">
        <v>1405</v>
      </c>
    </row>
    <row r="775">
      <c r="A775" s="3" t="s">
        <v>1300</v>
      </c>
      <c r="B775" s="4" t="s">
        <v>1406</v>
      </c>
      <c r="C775" s="5">
        <v>34185.0</v>
      </c>
      <c r="D775" s="8" t="str">
        <f>+41.643437°</f>
        <v>#ERROR!</v>
      </c>
      <c r="E775" s="7" t="s">
        <v>1407</v>
      </c>
    </row>
    <row r="776">
      <c r="A776" s="3" t="s">
        <v>1300</v>
      </c>
      <c r="B776" s="4" t="s">
        <v>1408</v>
      </c>
      <c r="C776" s="5">
        <v>21475.0</v>
      </c>
      <c r="D776" s="8" t="str">
        <f>+39.089225°</f>
        <v>#ERROR!</v>
      </c>
      <c r="E776" s="7" t="s">
        <v>1409</v>
      </c>
    </row>
    <row r="777">
      <c r="A777" s="3" t="s">
        <v>1300</v>
      </c>
      <c r="B777" s="4" t="s">
        <v>1410</v>
      </c>
      <c r="C777" s="5">
        <v>10613.0</v>
      </c>
      <c r="D777" s="8" t="str">
        <f>+38.825846°</f>
        <v>#ERROR!</v>
      </c>
      <c r="E777" s="7" t="s">
        <v>1411</v>
      </c>
    </row>
    <row r="778">
      <c r="A778" s="3" t="s">
        <v>1300</v>
      </c>
      <c r="B778" s="4" t="s">
        <v>1412</v>
      </c>
      <c r="C778" s="5">
        <v>172780.0</v>
      </c>
      <c r="D778" s="8" t="str">
        <f>+40.389260°</f>
        <v>#ERROR!</v>
      </c>
      <c r="E778" s="7" t="s">
        <v>1413</v>
      </c>
    </row>
    <row r="779">
      <c r="A779" s="3" t="s">
        <v>1300</v>
      </c>
      <c r="B779" s="4" t="s">
        <v>1414</v>
      </c>
      <c r="C779" s="5">
        <v>15936.0</v>
      </c>
      <c r="D779" s="8" t="str">
        <f>+40.310229°</f>
        <v>#ERROR!</v>
      </c>
      <c r="E779" s="7" t="s">
        <v>1415</v>
      </c>
    </row>
    <row r="780">
      <c r="A780" s="3" t="s">
        <v>1300</v>
      </c>
      <c r="B780" s="4" t="s">
        <v>395</v>
      </c>
      <c r="C780" s="5">
        <v>7516.0</v>
      </c>
      <c r="D780" s="8" t="str">
        <f>+39.623111°</f>
        <v>#ERROR!</v>
      </c>
      <c r="E780" s="7" t="s">
        <v>1416</v>
      </c>
    </row>
    <row r="781">
      <c r="A781" s="3" t="s">
        <v>1300</v>
      </c>
      <c r="B781" s="4" t="s">
        <v>1417</v>
      </c>
      <c r="C781" s="5">
        <v>179703.0</v>
      </c>
      <c r="D781" s="8" t="str">
        <f>+38.020070°</f>
        <v>#ERROR!</v>
      </c>
      <c r="E781" s="7" t="s">
        <v>1418</v>
      </c>
    </row>
    <row r="782">
      <c r="A782" s="3" t="s">
        <v>1300</v>
      </c>
      <c r="B782" s="4" t="s">
        <v>1419</v>
      </c>
      <c r="C782" s="5">
        <v>16212.0</v>
      </c>
      <c r="D782" s="8" t="str">
        <f>+39.854045°</f>
        <v>#ERROR!</v>
      </c>
      <c r="E782" s="7" t="s">
        <v>1420</v>
      </c>
    </row>
    <row r="783">
      <c r="A783" s="3" t="s">
        <v>1300</v>
      </c>
      <c r="B783" s="4" t="s">
        <v>1421</v>
      </c>
      <c r="C783" s="5">
        <v>107848.0</v>
      </c>
      <c r="D783" s="8" t="str">
        <f>+39.429143°</f>
        <v>#ERROR!</v>
      </c>
      <c r="E783" s="7" t="s">
        <v>1422</v>
      </c>
    </row>
    <row r="784">
      <c r="A784" s="3" t="s">
        <v>1300</v>
      </c>
      <c r="B784" s="4" t="s">
        <v>1284</v>
      </c>
      <c r="C784" s="5">
        <v>32888.0</v>
      </c>
      <c r="D784" s="8" t="str">
        <f>+40.843717°</f>
        <v>#ERROR!</v>
      </c>
      <c r="E784" s="7" t="s">
        <v>1423</v>
      </c>
    </row>
    <row r="785">
      <c r="A785" s="3" t="s">
        <v>1300</v>
      </c>
      <c r="B785" s="4" t="s">
        <v>1035</v>
      </c>
      <c r="C785" s="5">
        <v>8508.0</v>
      </c>
      <c r="D785" s="8" t="str">
        <f>+40.352658°</f>
        <v>#ERROR!</v>
      </c>
      <c r="E785" s="7" t="s">
        <v>1424</v>
      </c>
    </row>
    <row r="786">
      <c r="A786" s="3" t="s">
        <v>1300</v>
      </c>
      <c r="B786" s="4" t="s">
        <v>1425</v>
      </c>
      <c r="C786" s="5">
        <v>59689.0</v>
      </c>
      <c r="D786" s="8" t="str">
        <f>+38.097764°</f>
        <v>#ERROR!</v>
      </c>
      <c r="E786" s="7" t="s">
        <v>1426</v>
      </c>
    </row>
    <row r="787">
      <c r="A787" s="3" t="s">
        <v>1300</v>
      </c>
      <c r="B787" s="4" t="s">
        <v>177</v>
      </c>
      <c r="C787" s="5">
        <v>28262.0</v>
      </c>
      <c r="D787" s="8" t="str">
        <f>+38.600613°</f>
        <v>#ERROR!</v>
      </c>
      <c r="E787" s="7" t="s">
        <v>1427</v>
      </c>
    </row>
    <row r="788">
      <c r="A788" s="3" t="s">
        <v>1300</v>
      </c>
      <c r="B788" s="4" t="s">
        <v>1038</v>
      </c>
      <c r="C788" s="5">
        <v>68917.0</v>
      </c>
      <c r="D788" s="8" t="str">
        <f>+39.863091°</f>
        <v>#ERROR!</v>
      </c>
      <c r="E788" s="7" t="s">
        <v>1428</v>
      </c>
    </row>
    <row r="789">
      <c r="A789" s="3" t="s">
        <v>1300</v>
      </c>
      <c r="B789" s="4" t="s">
        <v>1429</v>
      </c>
      <c r="C789" s="5">
        <v>27636.0</v>
      </c>
      <c r="D789" s="8" t="str">
        <f>+40.735273°</f>
        <v>#ERROR!</v>
      </c>
      <c r="E789" s="7" t="s">
        <v>1430</v>
      </c>
    </row>
    <row r="790">
      <c r="A790" s="3" t="s">
        <v>1300</v>
      </c>
      <c r="B790" s="4" t="s">
        <v>400</v>
      </c>
      <c r="C790" s="5">
        <v>24643.0</v>
      </c>
      <c r="D790" s="8" t="str">
        <f>+40.750950°</f>
        <v>#ERROR!</v>
      </c>
      <c r="E790" s="7" t="s">
        <v>1431</v>
      </c>
    </row>
    <row r="791">
      <c r="A791" s="3" t="s">
        <v>1300</v>
      </c>
      <c r="B791" s="4" t="s">
        <v>1432</v>
      </c>
      <c r="C791" s="5">
        <v>33292.0</v>
      </c>
      <c r="D791" s="8" t="str">
        <f>+41.136426°</f>
        <v>#ERROR!</v>
      </c>
      <c r="E791" s="7" t="s">
        <v>1433</v>
      </c>
    </row>
    <row r="792">
      <c r="A792" s="3" t="s">
        <v>1434</v>
      </c>
      <c r="B792" s="4" t="s">
        <v>1435</v>
      </c>
      <c r="C792" s="5">
        <v>7682.0</v>
      </c>
      <c r="D792" s="8" t="str">
        <f>+41.328528°</f>
        <v>#ERROR!</v>
      </c>
      <c r="E792" s="7" t="s">
        <v>1436</v>
      </c>
    </row>
    <row r="793">
      <c r="A793" s="3" t="s">
        <v>1434</v>
      </c>
      <c r="B793" s="4" t="s">
        <v>522</v>
      </c>
      <c r="C793" s="5">
        <v>4029.0</v>
      </c>
      <c r="D793" s="8" t="str">
        <f>+41.021656°</f>
        <v>#ERROR!</v>
      </c>
      <c r="E793" s="7" t="s">
        <v>1437</v>
      </c>
    </row>
    <row r="794">
      <c r="A794" s="3" t="s">
        <v>1434</v>
      </c>
      <c r="B794" s="4" t="s">
        <v>1438</v>
      </c>
      <c r="C794" s="5">
        <v>14330.0</v>
      </c>
      <c r="D794" s="8" t="str">
        <f>+43.274964°</f>
        <v>#ERROR!</v>
      </c>
      <c r="E794" s="7" t="s">
        <v>1439</v>
      </c>
    </row>
    <row r="795">
      <c r="A795" s="3" t="s">
        <v>1434</v>
      </c>
      <c r="B795" s="4" t="s">
        <v>1440</v>
      </c>
      <c r="C795" s="5">
        <v>12887.0</v>
      </c>
      <c r="D795" s="8" t="str">
        <f>+40.744683°</f>
        <v>#ERROR!</v>
      </c>
      <c r="E795" s="7" t="s">
        <v>1441</v>
      </c>
    </row>
    <row r="796">
      <c r="A796" s="3" t="s">
        <v>1434</v>
      </c>
      <c r="B796" s="4" t="s">
        <v>1442</v>
      </c>
      <c r="C796" s="5">
        <v>6119.0</v>
      </c>
      <c r="D796" s="8" t="str">
        <f>+41.679178°</f>
        <v>#ERROR!</v>
      </c>
      <c r="E796" s="7" t="s">
        <v>1443</v>
      </c>
    </row>
    <row r="797">
      <c r="A797" s="3" t="s">
        <v>1434</v>
      </c>
      <c r="B797" s="4" t="s">
        <v>280</v>
      </c>
      <c r="C797" s="5">
        <v>26076.0</v>
      </c>
      <c r="D797" s="8" t="str">
        <f>+42.092547°</f>
        <v>#ERROR!</v>
      </c>
      <c r="E797" s="7" t="s">
        <v>1444</v>
      </c>
    </row>
    <row r="798">
      <c r="A798" s="3" t="s">
        <v>1434</v>
      </c>
      <c r="B798" s="4" t="s">
        <v>1445</v>
      </c>
      <c r="C798" s="5">
        <v>131090.0</v>
      </c>
      <c r="D798" s="8" t="str">
        <f>+42.472888°</f>
        <v>#ERROR!</v>
      </c>
      <c r="E798" s="7" t="s">
        <v>1446</v>
      </c>
    </row>
    <row r="799">
      <c r="A799" s="3" t="s">
        <v>1434</v>
      </c>
      <c r="B799" s="4" t="s">
        <v>282</v>
      </c>
      <c r="C799" s="5">
        <v>26306.0</v>
      </c>
      <c r="D799" s="8" t="str">
        <f>+42.038601°</f>
        <v>#ERROR!</v>
      </c>
      <c r="E799" s="7" t="s">
        <v>1447</v>
      </c>
    </row>
    <row r="800">
      <c r="A800" s="3" t="s">
        <v>1434</v>
      </c>
      <c r="B800" s="4" t="s">
        <v>1448</v>
      </c>
      <c r="C800" s="5">
        <v>24276.0</v>
      </c>
      <c r="D800" s="8" t="str">
        <f>+42.780890°</f>
        <v>#ERROR!</v>
      </c>
      <c r="E800" s="7" t="s">
        <v>1449</v>
      </c>
    </row>
    <row r="801">
      <c r="A801" s="3" t="s">
        <v>1434</v>
      </c>
      <c r="B801" s="4" t="s">
        <v>1450</v>
      </c>
      <c r="C801" s="5">
        <v>20958.0</v>
      </c>
      <c r="D801" s="8" t="str">
        <f>+42.470328°</f>
        <v>#ERROR!</v>
      </c>
      <c r="E801" s="7" t="s">
        <v>1451</v>
      </c>
    </row>
    <row r="802">
      <c r="A802" s="3" t="s">
        <v>1434</v>
      </c>
      <c r="B802" s="4" t="s">
        <v>1452</v>
      </c>
      <c r="C802" s="5">
        <v>20260.0</v>
      </c>
      <c r="D802" s="8" t="str">
        <f>+42.741522°</f>
        <v>#ERROR!</v>
      </c>
      <c r="E802" s="7" t="s">
        <v>1453</v>
      </c>
    </row>
    <row r="803">
      <c r="A803" s="3" t="s">
        <v>1434</v>
      </c>
      <c r="B803" s="4" t="s">
        <v>24</v>
      </c>
      <c r="C803" s="5">
        <v>14867.0</v>
      </c>
      <c r="D803" s="8" t="str">
        <f>+42.734708°</f>
        <v>#ERROR!</v>
      </c>
      <c r="E803" s="7" t="s">
        <v>1454</v>
      </c>
    </row>
    <row r="804">
      <c r="A804" s="3" t="s">
        <v>1434</v>
      </c>
      <c r="B804" s="4" t="s">
        <v>27</v>
      </c>
      <c r="C804" s="5">
        <v>9670.0</v>
      </c>
      <c r="D804" s="8" t="str">
        <f>+42.386170°</f>
        <v>#ERROR!</v>
      </c>
      <c r="E804" s="7" t="s">
        <v>1455</v>
      </c>
    </row>
    <row r="805">
      <c r="A805" s="3" t="s">
        <v>1434</v>
      </c>
      <c r="B805" s="4" t="s">
        <v>287</v>
      </c>
      <c r="C805" s="5">
        <v>20816.0</v>
      </c>
      <c r="D805" s="8" t="str">
        <f>+42.039492°</f>
        <v>#ERROR!</v>
      </c>
      <c r="E805" s="7" t="s">
        <v>1456</v>
      </c>
    </row>
    <row r="806">
      <c r="A806" s="3" t="s">
        <v>1434</v>
      </c>
      <c r="B806" s="4" t="s">
        <v>1156</v>
      </c>
      <c r="C806" s="5">
        <v>13956.0</v>
      </c>
      <c r="D806" s="8" t="str">
        <f>+41.333824°</f>
        <v>#ERROR!</v>
      </c>
      <c r="E806" s="7" t="s">
        <v>1457</v>
      </c>
    </row>
    <row r="807">
      <c r="A807" s="3" t="s">
        <v>1434</v>
      </c>
      <c r="B807" s="4" t="s">
        <v>1458</v>
      </c>
      <c r="C807" s="5">
        <v>18499.0</v>
      </c>
      <c r="D807" s="8" t="str">
        <f>+41.772355°</f>
        <v>#ERROR!</v>
      </c>
      <c r="E807" s="7" t="s">
        <v>1459</v>
      </c>
    </row>
    <row r="808">
      <c r="A808" s="3" t="s">
        <v>1434</v>
      </c>
      <c r="B808" s="4" t="s">
        <v>1460</v>
      </c>
      <c r="C808" s="5">
        <v>44151.0</v>
      </c>
      <c r="D808" s="8" t="str">
        <f>+43.075171°</f>
        <v>#ERROR!</v>
      </c>
      <c r="E808" s="7" t="s">
        <v>1461</v>
      </c>
    </row>
    <row r="809">
      <c r="A809" s="3" t="s">
        <v>1434</v>
      </c>
      <c r="B809" s="4" t="s">
        <v>835</v>
      </c>
      <c r="C809" s="5">
        <v>12072.0</v>
      </c>
      <c r="D809" s="8" t="str">
        <f>+42.742738°</f>
        <v>#ERROR!</v>
      </c>
      <c r="E809" s="7" t="s">
        <v>1462</v>
      </c>
    </row>
    <row r="810">
      <c r="A810" s="3" t="s">
        <v>1434</v>
      </c>
      <c r="B810" s="4" t="s">
        <v>1463</v>
      </c>
      <c r="C810" s="5">
        <v>12439.0</v>
      </c>
      <c r="D810" s="8" t="str">
        <f>+43.059741°</f>
        <v>#ERROR!</v>
      </c>
      <c r="E810" s="7" t="s">
        <v>1464</v>
      </c>
    </row>
    <row r="811">
      <c r="A811" s="3" t="s">
        <v>1434</v>
      </c>
      <c r="B811" s="4" t="s">
        <v>39</v>
      </c>
      <c r="C811" s="5">
        <v>9286.0</v>
      </c>
      <c r="D811" s="8" t="str">
        <f>+41.029191°</f>
        <v>#ERROR!</v>
      </c>
      <c r="E811" s="7" t="s">
        <v>1465</v>
      </c>
    </row>
    <row r="812">
      <c r="A812" s="3" t="s">
        <v>1434</v>
      </c>
      <c r="B812" s="4" t="s">
        <v>42</v>
      </c>
      <c r="C812" s="5">
        <v>16667.0</v>
      </c>
      <c r="D812" s="8" t="str">
        <f>+43.079822°</f>
        <v>#ERROR!</v>
      </c>
      <c r="E812" s="7" t="s">
        <v>1466</v>
      </c>
    </row>
    <row r="813">
      <c r="A813" s="3" t="s">
        <v>1434</v>
      </c>
      <c r="B813" s="4" t="s">
        <v>839</v>
      </c>
      <c r="C813" s="5">
        <v>18129.0</v>
      </c>
      <c r="D813" s="8" t="str">
        <f>+42.840998°</f>
        <v>#ERROR!</v>
      </c>
      <c r="E813" s="7" t="s">
        <v>1467</v>
      </c>
    </row>
    <row r="814">
      <c r="A814" s="3" t="s">
        <v>1434</v>
      </c>
      <c r="B814" s="4" t="s">
        <v>1164</v>
      </c>
      <c r="C814" s="5">
        <v>49116.0</v>
      </c>
      <c r="D814" s="8" t="str">
        <f>+41.898073°</f>
        <v>#ERROR!</v>
      </c>
      <c r="E814" s="7" t="s">
        <v>1468</v>
      </c>
    </row>
    <row r="815">
      <c r="A815" s="3" t="s">
        <v>1434</v>
      </c>
      <c r="B815" s="4" t="s">
        <v>303</v>
      </c>
      <c r="C815" s="5">
        <v>17096.0</v>
      </c>
      <c r="D815" s="8" t="str">
        <f>+42.043119°</f>
        <v>#ERROR!</v>
      </c>
      <c r="E815" s="7" t="s">
        <v>1469</v>
      </c>
    </row>
    <row r="816">
      <c r="A816" s="3" t="s">
        <v>1434</v>
      </c>
      <c r="B816" s="4" t="s">
        <v>72</v>
      </c>
      <c r="C816" s="5">
        <v>66135.0</v>
      </c>
      <c r="D816" s="8" t="str">
        <f>+41.685321°</f>
        <v>#ERROR!</v>
      </c>
      <c r="E816" s="7" t="s">
        <v>1470</v>
      </c>
    </row>
    <row r="817">
      <c r="A817" s="3" t="s">
        <v>1434</v>
      </c>
      <c r="B817" s="4" t="s">
        <v>1471</v>
      </c>
      <c r="C817" s="5">
        <v>8753.0</v>
      </c>
      <c r="D817" s="8" t="str">
        <f>+40.748089°</f>
        <v>#ERROR!</v>
      </c>
      <c r="E817" s="7" t="s">
        <v>1472</v>
      </c>
    </row>
    <row r="818">
      <c r="A818" s="3" t="s">
        <v>1434</v>
      </c>
      <c r="B818" s="4" t="s">
        <v>860</v>
      </c>
      <c r="C818" s="5">
        <v>8457.0</v>
      </c>
      <c r="D818" s="8" t="str">
        <f>+40.736379°</f>
        <v>#ERROR!</v>
      </c>
      <c r="E818" s="7" t="s">
        <v>1473</v>
      </c>
    </row>
    <row r="819">
      <c r="A819" s="3" t="s">
        <v>1434</v>
      </c>
      <c r="B819" s="4" t="s">
        <v>1323</v>
      </c>
      <c r="C819" s="5">
        <v>17764.0</v>
      </c>
      <c r="D819" s="8" t="str">
        <f>+42.473003°</f>
        <v>#ERROR!</v>
      </c>
      <c r="E819" s="7" t="s">
        <v>1474</v>
      </c>
    </row>
    <row r="820">
      <c r="A820" s="3" t="s">
        <v>1434</v>
      </c>
      <c r="B820" s="4" t="s">
        <v>1475</v>
      </c>
      <c r="C820" s="5">
        <v>40325.0</v>
      </c>
      <c r="D820" s="8" t="str">
        <f>+40.915339°</f>
        <v>#ERROR!</v>
      </c>
      <c r="E820" s="7" t="s">
        <v>1476</v>
      </c>
    </row>
    <row r="821">
      <c r="A821" s="3" t="s">
        <v>1434</v>
      </c>
      <c r="B821" s="4" t="s">
        <v>1477</v>
      </c>
      <c r="C821" s="5">
        <v>16667.0</v>
      </c>
      <c r="D821" s="8" t="str">
        <f>+43.389611°</f>
        <v>#ERROR!</v>
      </c>
      <c r="E821" s="7" t="s">
        <v>1478</v>
      </c>
    </row>
    <row r="822">
      <c r="A822" s="3" t="s">
        <v>1434</v>
      </c>
      <c r="B822" s="4" t="s">
        <v>1479</v>
      </c>
      <c r="C822" s="5">
        <v>93653.0</v>
      </c>
      <c r="D822" s="8" t="str">
        <f>+42.463481°</f>
        <v>#ERROR!</v>
      </c>
      <c r="E822" s="7" t="s">
        <v>1480</v>
      </c>
    </row>
    <row r="823">
      <c r="A823" s="3" t="s">
        <v>1434</v>
      </c>
      <c r="B823" s="4" t="s">
        <v>1481</v>
      </c>
      <c r="C823" s="5">
        <v>10302.0</v>
      </c>
      <c r="D823" s="8" t="str">
        <f>+43.377984°</f>
        <v>#ERROR!</v>
      </c>
      <c r="E823" s="7" t="s">
        <v>1482</v>
      </c>
    </row>
    <row r="824">
      <c r="A824" s="3" t="s">
        <v>1434</v>
      </c>
      <c r="B824" s="4" t="s">
        <v>87</v>
      </c>
      <c r="C824" s="5">
        <v>20880.0</v>
      </c>
      <c r="D824" s="8" t="str">
        <f>+42.864450°</f>
        <v>#ERROR!</v>
      </c>
      <c r="E824" s="7" t="s">
        <v>1483</v>
      </c>
    </row>
    <row r="825">
      <c r="A825" s="3" t="s">
        <v>1434</v>
      </c>
      <c r="B825" s="4" t="s">
        <v>884</v>
      </c>
      <c r="C825" s="5">
        <v>16303.0</v>
      </c>
      <c r="D825" s="8" t="str">
        <f>+43.052741°</f>
        <v>#ERROR!</v>
      </c>
      <c r="E825" s="7" t="s">
        <v>1484</v>
      </c>
    </row>
    <row r="826">
      <c r="A826" s="3" t="s">
        <v>1434</v>
      </c>
      <c r="B826" s="4" t="s">
        <v>90</v>
      </c>
      <c r="C826" s="5">
        <v>10680.0</v>
      </c>
      <c r="D826" s="8" t="str">
        <f>+42.736549°</f>
        <v>#ERROR!</v>
      </c>
      <c r="E826" s="7" t="s">
        <v>1485</v>
      </c>
    </row>
    <row r="827">
      <c r="A827" s="3" t="s">
        <v>1434</v>
      </c>
      <c r="B827" s="4" t="s">
        <v>566</v>
      </c>
      <c r="C827" s="5">
        <v>7441.0</v>
      </c>
      <c r="D827" s="8" t="str">
        <f>+40.743726°</f>
        <v>#ERROR!</v>
      </c>
      <c r="E827" s="7" t="s">
        <v>1486</v>
      </c>
    </row>
    <row r="828">
      <c r="A828" s="3" t="s">
        <v>1434</v>
      </c>
      <c r="B828" s="4" t="s">
        <v>96</v>
      </c>
      <c r="C828" s="5">
        <v>9336.0</v>
      </c>
      <c r="D828" s="8" t="str">
        <f>+42.042494°</f>
        <v>#ERROR!</v>
      </c>
      <c r="E828" s="7" t="s">
        <v>1487</v>
      </c>
    </row>
    <row r="829">
      <c r="A829" s="3" t="s">
        <v>1434</v>
      </c>
      <c r="B829" s="4" t="s">
        <v>1191</v>
      </c>
      <c r="C829" s="5">
        <v>12453.0</v>
      </c>
      <c r="D829" s="8" t="str">
        <f>+42.403323°</f>
        <v>#ERROR!</v>
      </c>
      <c r="E829" s="7" t="s">
        <v>1488</v>
      </c>
    </row>
    <row r="830">
      <c r="A830" s="3" t="s">
        <v>1434</v>
      </c>
      <c r="B830" s="4" t="s">
        <v>1489</v>
      </c>
      <c r="C830" s="5">
        <v>10954.0</v>
      </c>
      <c r="D830" s="8" t="str">
        <f>+41.683573°</f>
        <v>#ERROR!</v>
      </c>
      <c r="E830" s="7" t="s">
        <v>1490</v>
      </c>
    </row>
    <row r="831">
      <c r="A831" s="3" t="s">
        <v>1434</v>
      </c>
      <c r="B831" s="4" t="s">
        <v>708</v>
      </c>
      <c r="C831" s="5">
        <v>15673.0</v>
      </c>
      <c r="D831" s="8" t="str">
        <f>+42.390768°</f>
        <v>#ERROR!</v>
      </c>
      <c r="E831" s="7" t="s">
        <v>1491</v>
      </c>
    </row>
    <row r="832">
      <c r="A832" s="3" t="s">
        <v>1434</v>
      </c>
      <c r="B832" s="4" t="s">
        <v>907</v>
      </c>
      <c r="C832" s="5">
        <v>11341.0</v>
      </c>
      <c r="D832" s="8" t="str">
        <f>+43.075411°</f>
        <v>#ERROR!</v>
      </c>
      <c r="E832" s="7" t="s">
        <v>1492</v>
      </c>
    </row>
    <row r="833">
      <c r="A833" s="3" t="s">
        <v>1434</v>
      </c>
      <c r="B833" s="4" t="s">
        <v>1195</v>
      </c>
      <c r="C833" s="5">
        <v>17534.0</v>
      </c>
      <c r="D833" s="8" t="str">
        <f>+42.389955°</f>
        <v>#ERROR!</v>
      </c>
      <c r="E833" s="7" t="s">
        <v>1493</v>
      </c>
    </row>
    <row r="834">
      <c r="A834" s="3" t="s">
        <v>1434</v>
      </c>
      <c r="B834" s="4" t="s">
        <v>1341</v>
      </c>
      <c r="C834" s="5">
        <v>14928.0</v>
      </c>
      <c r="D834" s="8" t="str">
        <f>+41.688584°</f>
        <v>#ERROR!</v>
      </c>
      <c r="E834" s="7" t="s">
        <v>1494</v>
      </c>
    </row>
    <row r="835">
      <c r="A835" s="3" t="s">
        <v>1434</v>
      </c>
      <c r="B835" s="4" t="s">
        <v>102</v>
      </c>
      <c r="C835" s="5">
        <v>20145.0</v>
      </c>
      <c r="D835" s="8" t="str">
        <f>+40.985864°</f>
        <v>#ERROR!</v>
      </c>
      <c r="E835" s="7" t="s">
        <v>1495</v>
      </c>
    </row>
    <row r="836">
      <c r="A836" s="3" t="s">
        <v>1434</v>
      </c>
      <c r="B836" s="4" t="s">
        <v>328</v>
      </c>
      <c r="C836" s="5">
        <v>9566.0</v>
      </c>
      <c r="D836" s="8" t="str">
        <f>+43.365313°</f>
        <v>#ERROR!</v>
      </c>
      <c r="E836" s="7" t="s">
        <v>1496</v>
      </c>
    </row>
    <row r="837">
      <c r="A837" s="3" t="s">
        <v>1434</v>
      </c>
      <c r="B837" s="4" t="s">
        <v>429</v>
      </c>
      <c r="C837" s="5">
        <v>9815.0</v>
      </c>
      <c r="D837" s="8" t="str">
        <f>+42.782221°</f>
        <v>#ERROR!</v>
      </c>
      <c r="E837" s="7" t="s">
        <v>1497</v>
      </c>
    </row>
    <row r="838">
      <c r="A838" s="3" t="s">
        <v>1434</v>
      </c>
      <c r="B838" s="4" t="s">
        <v>1498</v>
      </c>
      <c r="C838" s="5">
        <v>7089.0</v>
      </c>
      <c r="D838" s="8" t="str">
        <f>+42.391860°</f>
        <v>#ERROR!</v>
      </c>
      <c r="E838" s="7" t="s">
        <v>1499</v>
      </c>
    </row>
    <row r="839">
      <c r="A839" s="3" t="s">
        <v>1434</v>
      </c>
      <c r="B839" s="4" t="s">
        <v>1500</v>
      </c>
      <c r="C839" s="5">
        <v>16355.0</v>
      </c>
      <c r="D839" s="8" t="str">
        <f>+41.683918°</f>
        <v>#ERROR!</v>
      </c>
      <c r="E839" s="7" t="s">
        <v>1501</v>
      </c>
    </row>
    <row r="840">
      <c r="A840" s="3" t="s">
        <v>1434</v>
      </c>
      <c r="B840" s="4" t="s">
        <v>108</v>
      </c>
      <c r="C840" s="5">
        <v>19848.0</v>
      </c>
      <c r="D840" s="8" t="str">
        <f>+42.164281°</f>
        <v>#ERROR!</v>
      </c>
      <c r="E840" s="7" t="s">
        <v>1502</v>
      </c>
    </row>
    <row r="841">
      <c r="A841" s="3" t="s">
        <v>1434</v>
      </c>
      <c r="B841" s="4" t="s">
        <v>922</v>
      </c>
      <c r="C841" s="5">
        <v>36842.0</v>
      </c>
      <c r="D841" s="8" t="str">
        <f>+41.685686°</f>
        <v>#ERROR!</v>
      </c>
      <c r="E841" s="7" t="s">
        <v>1503</v>
      </c>
    </row>
    <row r="842">
      <c r="A842" s="3" t="s">
        <v>1434</v>
      </c>
      <c r="B842" s="4" t="s">
        <v>111</v>
      </c>
      <c r="C842" s="5">
        <v>16843.0</v>
      </c>
      <c r="D842" s="8" t="str">
        <f>+41.006880°</f>
        <v>#ERROR!</v>
      </c>
      <c r="E842" s="7" t="s">
        <v>1504</v>
      </c>
    </row>
    <row r="843">
      <c r="A843" s="3" t="s">
        <v>1434</v>
      </c>
      <c r="B843" s="4" t="s">
        <v>336</v>
      </c>
      <c r="C843" s="5">
        <v>130882.0</v>
      </c>
      <c r="D843" s="8" t="str">
        <f>+41.668737°</f>
        <v>#ERROR!</v>
      </c>
      <c r="E843" s="7" t="s">
        <v>1505</v>
      </c>
    </row>
    <row r="844">
      <c r="A844" s="3" t="s">
        <v>1434</v>
      </c>
      <c r="B844" s="4" t="s">
        <v>930</v>
      </c>
      <c r="C844" s="5">
        <v>20638.0</v>
      </c>
      <c r="D844" s="8" t="str">
        <f>+42.125118°</f>
        <v>#ERROR!</v>
      </c>
      <c r="E844" s="7" t="s">
        <v>1506</v>
      </c>
    </row>
    <row r="845">
      <c r="A845" s="3" t="s">
        <v>1434</v>
      </c>
      <c r="B845" s="4" t="s">
        <v>1507</v>
      </c>
      <c r="C845" s="5">
        <v>10511.0</v>
      </c>
      <c r="D845" s="8" t="str">
        <f>+41.331182°</f>
        <v>#ERROR!</v>
      </c>
      <c r="E845" s="7" t="s">
        <v>1508</v>
      </c>
    </row>
    <row r="846">
      <c r="A846" s="3" t="s">
        <v>1434</v>
      </c>
      <c r="B846" s="4" t="s">
        <v>1509</v>
      </c>
      <c r="C846" s="5">
        <v>15543.0</v>
      </c>
      <c r="D846" s="8" t="str">
        <f>+43.212478°</f>
        <v>#ERROR!</v>
      </c>
      <c r="E846" s="7" t="s">
        <v>1510</v>
      </c>
    </row>
    <row r="847">
      <c r="A847" s="3" t="s">
        <v>1434</v>
      </c>
      <c r="B847" s="4" t="s">
        <v>123</v>
      </c>
      <c r="C847" s="5">
        <v>35862.0</v>
      </c>
      <c r="D847" s="8" t="str">
        <f>+40.647588°</f>
        <v>#ERROR!</v>
      </c>
      <c r="E847" s="7" t="s">
        <v>1511</v>
      </c>
    </row>
    <row r="848">
      <c r="A848" s="3" t="s">
        <v>1434</v>
      </c>
      <c r="B848" s="4" t="s">
        <v>1512</v>
      </c>
      <c r="C848" s="5">
        <v>211226.0</v>
      </c>
      <c r="D848" s="8" t="str">
        <f>+42.077951°</f>
        <v>#ERROR!</v>
      </c>
      <c r="E848" s="7" t="s">
        <v>1513</v>
      </c>
    </row>
    <row r="849">
      <c r="A849" s="3" t="s">
        <v>1434</v>
      </c>
      <c r="B849" s="4" t="s">
        <v>1514</v>
      </c>
      <c r="C849" s="5">
        <v>11387.0</v>
      </c>
      <c r="D849" s="8" t="str">
        <f>+41.218211°</f>
        <v>#ERROR!</v>
      </c>
      <c r="E849" s="7" t="s">
        <v>1515</v>
      </c>
    </row>
    <row r="850">
      <c r="A850" s="3" t="s">
        <v>1434</v>
      </c>
      <c r="B850" s="4" t="s">
        <v>1516</v>
      </c>
      <c r="C850" s="5">
        <v>8898.0</v>
      </c>
      <c r="D850" s="8" t="str">
        <f>+41.033344°</f>
        <v>#ERROR!</v>
      </c>
      <c r="E850" s="7" t="s">
        <v>1517</v>
      </c>
    </row>
    <row r="851">
      <c r="A851" s="3" t="s">
        <v>1434</v>
      </c>
      <c r="B851" s="4" t="s">
        <v>1518</v>
      </c>
      <c r="C851" s="5">
        <v>11581.0</v>
      </c>
      <c r="D851" s="8" t="str">
        <f>+43.383580°</f>
        <v>#ERROR!</v>
      </c>
      <c r="E851" s="7" t="s">
        <v>1519</v>
      </c>
    </row>
    <row r="852">
      <c r="A852" s="3" t="s">
        <v>1434</v>
      </c>
      <c r="B852" s="4" t="s">
        <v>135</v>
      </c>
      <c r="C852" s="5">
        <v>15679.0</v>
      </c>
      <c r="D852" s="8" t="str">
        <f>+41.330622°</f>
        <v>#ERROR!</v>
      </c>
      <c r="E852" s="7" t="s">
        <v>1520</v>
      </c>
    </row>
    <row r="853">
      <c r="A853" s="3" t="s">
        <v>1434</v>
      </c>
      <c r="B853" s="4" t="s">
        <v>1521</v>
      </c>
      <c r="C853" s="5">
        <v>22381.0</v>
      </c>
      <c r="D853" s="8" t="str">
        <f>+41.330797°</f>
        <v>#ERROR!</v>
      </c>
      <c r="E853" s="7" t="s">
        <v>1522</v>
      </c>
    </row>
    <row r="854">
      <c r="A854" s="3" t="s">
        <v>1434</v>
      </c>
      <c r="B854" s="4" t="s">
        <v>141</v>
      </c>
      <c r="C854" s="5">
        <v>33309.0</v>
      </c>
      <c r="D854" s="8" t="str">
        <f>+41.331455°</f>
        <v>#ERROR!</v>
      </c>
      <c r="E854" s="7" t="s">
        <v>1523</v>
      </c>
    </row>
    <row r="855">
      <c r="A855" s="3" t="s">
        <v>1434</v>
      </c>
      <c r="B855" s="4" t="s">
        <v>143</v>
      </c>
      <c r="C855" s="5">
        <v>40648.0</v>
      </c>
      <c r="D855" s="8" t="str">
        <f>+42.041691°</f>
        <v>#ERROR!</v>
      </c>
      <c r="E855" s="7" t="s">
        <v>1524</v>
      </c>
    </row>
    <row r="856">
      <c r="A856" s="3" t="s">
        <v>1434</v>
      </c>
      <c r="B856" s="4" t="s">
        <v>1525</v>
      </c>
      <c r="C856" s="5">
        <v>15059.0</v>
      </c>
      <c r="D856" s="8" t="str">
        <f>+41.033703°</f>
        <v>#ERROR!</v>
      </c>
      <c r="E856" s="7" t="s">
        <v>1526</v>
      </c>
    </row>
    <row r="857">
      <c r="A857" s="3" t="s">
        <v>1434</v>
      </c>
      <c r="B857" s="4" t="s">
        <v>955</v>
      </c>
      <c r="C857" s="5">
        <v>10776.0</v>
      </c>
      <c r="D857" s="8" t="str">
        <f>+43.348564°</f>
        <v>#ERROR!</v>
      </c>
      <c r="E857" s="7" t="s">
        <v>1527</v>
      </c>
    </row>
    <row r="858">
      <c r="A858" s="3" t="s">
        <v>1434</v>
      </c>
      <c r="B858" s="4" t="s">
        <v>1528</v>
      </c>
      <c r="C858" s="5">
        <v>9243.0</v>
      </c>
      <c r="D858" s="8" t="str">
        <f>+42.049432°</f>
        <v>#ERROR!</v>
      </c>
      <c r="E858" s="7" t="s">
        <v>1529</v>
      </c>
    </row>
    <row r="859">
      <c r="A859" s="3" t="s">
        <v>1434</v>
      </c>
      <c r="B859" s="4" t="s">
        <v>147</v>
      </c>
      <c r="C859" s="5">
        <v>7970.0</v>
      </c>
      <c r="D859" s="8" t="str">
        <f>+41.028847°</f>
        <v>#ERROR!</v>
      </c>
      <c r="E859" s="7" t="s">
        <v>1530</v>
      </c>
    </row>
    <row r="860">
      <c r="A860" s="3" t="s">
        <v>1434</v>
      </c>
      <c r="B860" s="4" t="s">
        <v>149</v>
      </c>
      <c r="C860" s="5">
        <v>10740.0</v>
      </c>
      <c r="D860" s="8" t="str">
        <f>+41.021735°</f>
        <v>#ERROR!</v>
      </c>
      <c r="E860" s="7" t="s">
        <v>1531</v>
      </c>
    </row>
    <row r="861">
      <c r="A861" s="3" t="s">
        <v>1434</v>
      </c>
      <c r="B861" s="4" t="s">
        <v>1532</v>
      </c>
      <c r="C861" s="5">
        <v>42745.0</v>
      </c>
      <c r="D861" s="8" t="str">
        <f>+41.483776°</f>
        <v>#ERROR!</v>
      </c>
      <c r="E861" s="7" t="s">
        <v>1533</v>
      </c>
    </row>
    <row r="862">
      <c r="A862" s="3" t="s">
        <v>1434</v>
      </c>
      <c r="B862" s="4" t="s">
        <v>1534</v>
      </c>
      <c r="C862" s="5">
        <v>14398.0</v>
      </c>
      <c r="D862" s="8" t="str">
        <f>+43.083746°</f>
        <v>#ERROR!</v>
      </c>
      <c r="E862" s="7" t="s">
        <v>1535</v>
      </c>
    </row>
    <row r="863">
      <c r="A863" s="3" t="s">
        <v>1434</v>
      </c>
      <c r="B863" s="4" t="s">
        <v>751</v>
      </c>
      <c r="C863" s="5">
        <v>6462.0</v>
      </c>
      <c r="D863" s="8" t="str">
        <f>+43.378542°</f>
        <v>#ERROR!</v>
      </c>
      <c r="E863" s="7" t="s">
        <v>1536</v>
      </c>
    </row>
    <row r="864">
      <c r="A864" s="3" t="s">
        <v>1434</v>
      </c>
      <c r="B864" s="4" t="s">
        <v>1537</v>
      </c>
      <c r="C864" s="5">
        <v>15932.0</v>
      </c>
      <c r="D864" s="8" t="str">
        <f>+40.739090°</f>
        <v>#ERROR!</v>
      </c>
      <c r="E864" s="7" t="s">
        <v>1538</v>
      </c>
    </row>
    <row r="865">
      <c r="A865" s="3" t="s">
        <v>1434</v>
      </c>
      <c r="B865" s="4" t="s">
        <v>1539</v>
      </c>
      <c r="C865" s="5">
        <v>9421.0</v>
      </c>
      <c r="D865" s="8" t="str">
        <f>+43.075854°</f>
        <v>#ERROR!</v>
      </c>
      <c r="E865" s="7" t="s">
        <v>1540</v>
      </c>
    </row>
    <row r="866">
      <c r="A866" s="3" t="s">
        <v>1434</v>
      </c>
      <c r="B866" s="4" t="s">
        <v>1541</v>
      </c>
      <c r="C866" s="5">
        <v>24986.0</v>
      </c>
      <c r="D866" s="8" t="str">
        <f>+42.737585°</f>
        <v>#ERROR!</v>
      </c>
      <c r="E866" s="7" t="s">
        <v>1542</v>
      </c>
    </row>
    <row r="867">
      <c r="A867" s="3" t="s">
        <v>1434</v>
      </c>
      <c r="B867" s="4" t="s">
        <v>1543</v>
      </c>
      <c r="C867" s="5">
        <v>7310.0</v>
      </c>
      <c r="D867" s="8" t="str">
        <f>+42.734033°</f>
        <v>#ERROR!</v>
      </c>
      <c r="E867" s="7" t="s">
        <v>1544</v>
      </c>
    </row>
    <row r="868">
      <c r="A868" s="3" t="s">
        <v>1434</v>
      </c>
      <c r="B868" s="4" t="s">
        <v>370</v>
      </c>
      <c r="C868" s="5">
        <v>430640.0</v>
      </c>
      <c r="D868" s="8" t="str">
        <f>+41.684281°</f>
        <v>#ERROR!</v>
      </c>
      <c r="E868" s="7" t="s">
        <v>1545</v>
      </c>
    </row>
    <row r="869">
      <c r="A869" s="3" t="s">
        <v>1434</v>
      </c>
      <c r="B869" s="4" t="s">
        <v>1546</v>
      </c>
      <c r="C869" s="5">
        <v>93158.0</v>
      </c>
      <c r="D869" s="8" t="str">
        <f>+41.340184°</f>
        <v>#ERROR!</v>
      </c>
      <c r="E869" s="7" t="s">
        <v>1547</v>
      </c>
    </row>
    <row r="870">
      <c r="A870" s="3" t="s">
        <v>1434</v>
      </c>
      <c r="B870" s="4" t="s">
        <v>1548</v>
      </c>
      <c r="C870" s="5">
        <v>18914.0</v>
      </c>
      <c r="D870" s="8" t="str">
        <f>+41.684526°</f>
        <v>#ERROR!</v>
      </c>
      <c r="E870" s="7" t="s">
        <v>1549</v>
      </c>
    </row>
    <row r="871">
      <c r="A871" s="3" t="s">
        <v>1434</v>
      </c>
      <c r="B871" s="4" t="s">
        <v>1550</v>
      </c>
      <c r="C871" s="5">
        <v>5131.0</v>
      </c>
      <c r="D871" s="8" t="str">
        <f>+40.735334°</f>
        <v>#ERROR!</v>
      </c>
      <c r="E871" s="7" t="s">
        <v>1551</v>
      </c>
    </row>
    <row r="872">
      <c r="A872" s="3" t="s">
        <v>1434</v>
      </c>
      <c r="B872" s="4" t="s">
        <v>1552</v>
      </c>
      <c r="C872" s="5">
        <v>10350.0</v>
      </c>
      <c r="D872" s="8" t="str">
        <f>+42.387526°</f>
        <v>#ERROR!</v>
      </c>
      <c r="E872" s="7" t="s">
        <v>1553</v>
      </c>
    </row>
    <row r="873">
      <c r="A873" s="3" t="s">
        <v>1434</v>
      </c>
      <c r="B873" s="4" t="s">
        <v>383</v>
      </c>
      <c r="C873" s="5">
        <v>165224.0</v>
      </c>
      <c r="D873" s="8" t="str">
        <f>+41.641679°</f>
        <v>#ERROR!</v>
      </c>
      <c r="E873" s="7" t="s">
        <v>1554</v>
      </c>
    </row>
    <row r="874">
      <c r="A874" s="3" t="s">
        <v>1434</v>
      </c>
      <c r="B874" s="4" t="s">
        <v>165</v>
      </c>
      <c r="C874" s="5">
        <v>12167.0</v>
      </c>
      <c r="D874" s="8" t="str">
        <f>+41.679014°</f>
        <v>#ERROR!</v>
      </c>
      <c r="E874" s="7" t="s">
        <v>1555</v>
      </c>
    </row>
    <row r="875">
      <c r="A875" s="3" t="s">
        <v>1434</v>
      </c>
      <c r="B875" s="4" t="s">
        <v>1556</v>
      </c>
      <c r="C875" s="5">
        <v>33704.0</v>
      </c>
      <c r="D875" s="8" t="str">
        <f>+43.082854°</f>
        <v>#ERROR!</v>
      </c>
      <c r="E875" s="7" t="s">
        <v>1557</v>
      </c>
    </row>
    <row r="876">
      <c r="A876" s="3" t="s">
        <v>1434</v>
      </c>
      <c r="B876" s="4" t="s">
        <v>1558</v>
      </c>
      <c r="C876" s="5">
        <v>89542.0</v>
      </c>
      <c r="D876" s="8" t="str">
        <f>+42.037538°</f>
        <v>#ERROR!</v>
      </c>
      <c r="E876" s="7" t="s">
        <v>1559</v>
      </c>
    </row>
    <row r="877">
      <c r="A877" s="3" t="s">
        <v>1434</v>
      </c>
      <c r="B877" s="4" t="s">
        <v>1560</v>
      </c>
      <c r="C877" s="5">
        <v>17767.0</v>
      </c>
      <c r="D877" s="8" t="str">
        <f>+42.074848°</f>
        <v>#ERROR!</v>
      </c>
      <c r="E877" s="7" t="s">
        <v>1561</v>
      </c>
    </row>
    <row r="878">
      <c r="A878" s="3" t="s">
        <v>1434</v>
      </c>
      <c r="B878" s="4" t="s">
        <v>775</v>
      </c>
      <c r="C878" s="5">
        <v>6317.0</v>
      </c>
      <c r="D878" s="8" t="str">
        <f>+40.737949°</f>
        <v>#ERROR!</v>
      </c>
      <c r="E878" s="7" t="s">
        <v>1562</v>
      </c>
    </row>
    <row r="879">
      <c r="A879" s="3" t="s">
        <v>1434</v>
      </c>
      <c r="B879" s="4" t="s">
        <v>395</v>
      </c>
      <c r="C879" s="5">
        <v>12534.0</v>
      </c>
      <c r="D879" s="8" t="str">
        <f>+41.028550°</f>
        <v>#ERROR!</v>
      </c>
      <c r="E879" s="7" t="s">
        <v>1563</v>
      </c>
    </row>
    <row r="880">
      <c r="A880" s="3" t="s">
        <v>1434</v>
      </c>
      <c r="B880" s="4" t="s">
        <v>397</v>
      </c>
      <c r="C880" s="5">
        <v>7570.0</v>
      </c>
      <c r="D880" s="8" t="str">
        <f>+40.754117°</f>
        <v>#ERROR!</v>
      </c>
      <c r="E880" s="7" t="s">
        <v>1564</v>
      </c>
    </row>
    <row r="881">
      <c r="A881" s="3" t="s">
        <v>1434</v>
      </c>
      <c r="B881" s="4" t="s">
        <v>1565</v>
      </c>
      <c r="C881" s="5">
        <v>35625.0</v>
      </c>
      <c r="D881" s="8" t="str">
        <f>+41.031263°</f>
        <v>#ERROR!</v>
      </c>
      <c r="E881" s="7" t="s">
        <v>1566</v>
      </c>
    </row>
    <row r="882">
      <c r="A882" s="3" t="s">
        <v>1434</v>
      </c>
      <c r="B882" s="4" t="s">
        <v>1035</v>
      </c>
      <c r="C882" s="5">
        <v>46225.0</v>
      </c>
      <c r="D882" s="8" t="str">
        <f>+41.336769°</f>
        <v>#ERROR!</v>
      </c>
      <c r="E882" s="7" t="s">
        <v>1567</v>
      </c>
    </row>
    <row r="883">
      <c r="A883" s="3" t="s">
        <v>1434</v>
      </c>
      <c r="B883" s="4" t="s">
        <v>177</v>
      </c>
      <c r="C883" s="5">
        <v>21704.0</v>
      </c>
      <c r="D883" s="8" t="str">
        <f>+41.329401°</f>
        <v>#ERROR!</v>
      </c>
      <c r="E883" s="7" t="s">
        <v>1568</v>
      </c>
    </row>
    <row r="884">
      <c r="A884" s="3" t="s">
        <v>1434</v>
      </c>
      <c r="B884" s="4" t="s">
        <v>1038</v>
      </c>
      <c r="C884" s="5">
        <v>6403.0</v>
      </c>
      <c r="D884" s="8" t="str">
        <f>+40.739983°</f>
        <v>#ERROR!</v>
      </c>
      <c r="E884" s="7" t="s">
        <v>1569</v>
      </c>
    </row>
    <row r="885">
      <c r="A885" s="3" t="s">
        <v>1434</v>
      </c>
      <c r="B885" s="4" t="s">
        <v>1040</v>
      </c>
      <c r="C885" s="5">
        <v>38013.0</v>
      </c>
      <c r="D885" s="8" t="str">
        <f>+42.434397°</f>
        <v>#ERROR!</v>
      </c>
      <c r="E885" s="7" t="s">
        <v>1570</v>
      </c>
    </row>
    <row r="886">
      <c r="A886" s="3" t="s">
        <v>1434</v>
      </c>
      <c r="B886" s="4" t="s">
        <v>1296</v>
      </c>
      <c r="C886" s="5">
        <v>10866.0</v>
      </c>
      <c r="D886" s="8" t="str">
        <f>+43.378124°</f>
        <v>#ERROR!</v>
      </c>
      <c r="E886" s="7" t="s">
        <v>1571</v>
      </c>
    </row>
    <row r="887">
      <c r="A887" s="3" t="s">
        <v>1434</v>
      </c>
      <c r="B887" s="4" t="s">
        <v>1572</v>
      </c>
      <c r="C887" s="5">
        <v>21056.0</v>
      </c>
      <c r="D887" s="8" t="str">
        <f>+43.292989°</f>
        <v>#ERROR!</v>
      </c>
      <c r="E887" s="7" t="s">
        <v>1573</v>
      </c>
    </row>
    <row r="888">
      <c r="A888" s="3" t="s">
        <v>1434</v>
      </c>
      <c r="B888" s="4" t="s">
        <v>1574</v>
      </c>
      <c r="C888" s="5">
        <v>102172.0</v>
      </c>
      <c r="D888" s="8" t="str">
        <f>+42.393220°</f>
        <v>#ERROR!</v>
      </c>
      <c r="E888" s="7" t="s">
        <v>1575</v>
      </c>
    </row>
    <row r="889">
      <c r="A889" s="3" t="s">
        <v>1434</v>
      </c>
      <c r="B889" s="4" t="s">
        <v>1052</v>
      </c>
      <c r="C889" s="5">
        <v>7598.0</v>
      </c>
      <c r="D889" s="8" t="str">
        <f>+43.373491°</f>
        <v>#ERROR!</v>
      </c>
      <c r="E889" s="7" t="s">
        <v>1576</v>
      </c>
    </row>
    <row r="890">
      <c r="A890" s="3" t="s">
        <v>1434</v>
      </c>
      <c r="B890" s="4" t="s">
        <v>1577</v>
      </c>
      <c r="C890" s="5">
        <v>13229.0</v>
      </c>
      <c r="D890" s="8" t="str">
        <f>+42.733007°</f>
        <v>#ERROR!</v>
      </c>
      <c r="E890" s="7" t="s">
        <v>1578</v>
      </c>
    </row>
    <row r="891">
      <c r="A891" s="3" t="s">
        <v>1579</v>
      </c>
      <c r="B891" s="4" t="s">
        <v>1302</v>
      </c>
      <c r="C891" s="5">
        <v>13371.0</v>
      </c>
      <c r="D891" s="8" t="str">
        <f>+37.884229°</f>
        <v>#ERROR!</v>
      </c>
      <c r="E891" s="7" t="s">
        <v>1580</v>
      </c>
    </row>
    <row r="892">
      <c r="A892" s="3" t="s">
        <v>1579</v>
      </c>
      <c r="B892" s="4" t="s">
        <v>1581</v>
      </c>
      <c r="C892" s="5">
        <v>8102.0</v>
      </c>
      <c r="D892" s="8" t="str">
        <f>+38.215114°</f>
        <v>#ERROR!</v>
      </c>
      <c r="E892" s="7" t="s">
        <v>1582</v>
      </c>
    </row>
    <row r="893">
      <c r="A893" s="3" t="s">
        <v>1579</v>
      </c>
      <c r="B893" s="4" t="s">
        <v>1583</v>
      </c>
      <c r="C893" s="5">
        <v>16924.0</v>
      </c>
      <c r="D893" s="8" t="str">
        <f>+39.532544°</f>
        <v>#ERROR!</v>
      </c>
      <c r="E893" s="7" t="s">
        <v>1584</v>
      </c>
    </row>
    <row r="894">
      <c r="A894" s="3" t="s">
        <v>1579</v>
      </c>
      <c r="B894" s="4" t="s">
        <v>1585</v>
      </c>
      <c r="C894" s="5">
        <v>4861.0</v>
      </c>
      <c r="D894" s="8" t="str">
        <f>+37.222906°</f>
        <v>#ERROR!</v>
      </c>
      <c r="E894" s="7" t="s">
        <v>1586</v>
      </c>
    </row>
    <row r="895">
      <c r="A895" s="3" t="s">
        <v>1579</v>
      </c>
      <c r="B895" s="4" t="s">
        <v>1587</v>
      </c>
      <c r="C895" s="5">
        <v>27674.0</v>
      </c>
      <c r="D895" s="8" t="str">
        <f>+38.481239°</f>
        <v>#ERROR!</v>
      </c>
      <c r="E895" s="7" t="s">
        <v>1588</v>
      </c>
    </row>
    <row r="896">
      <c r="A896" s="3" t="s">
        <v>1579</v>
      </c>
      <c r="B896" s="4" t="s">
        <v>1589</v>
      </c>
      <c r="C896" s="5">
        <v>15173.0</v>
      </c>
      <c r="D896" s="8" t="str">
        <f>+37.856100°</f>
        <v>#ERROR!</v>
      </c>
      <c r="E896" s="7" t="s">
        <v>1590</v>
      </c>
    </row>
    <row r="897">
      <c r="A897" s="3" t="s">
        <v>1579</v>
      </c>
      <c r="B897" s="4" t="s">
        <v>1150</v>
      </c>
      <c r="C897" s="5">
        <v>9984.0</v>
      </c>
      <c r="D897" s="8" t="str">
        <f>+39.825931°</f>
        <v>#ERROR!</v>
      </c>
      <c r="E897" s="7" t="s">
        <v>1591</v>
      </c>
    </row>
    <row r="898">
      <c r="A898" s="3" t="s">
        <v>1579</v>
      </c>
      <c r="B898" s="4" t="s">
        <v>24</v>
      </c>
      <c r="C898" s="5">
        <v>65880.0</v>
      </c>
      <c r="D898" s="8" t="str">
        <f>+37.773681°</f>
        <v>#ERROR!</v>
      </c>
      <c r="E898" s="7" t="s">
        <v>1592</v>
      </c>
    </row>
    <row r="899">
      <c r="A899" s="3" t="s">
        <v>1579</v>
      </c>
      <c r="B899" s="4" t="s">
        <v>1593</v>
      </c>
      <c r="C899" s="5">
        <v>2790.0</v>
      </c>
      <c r="D899" s="8" t="str">
        <f>+38.298553°</f>
        <v>#ERROR!</v>
      </c>
      <c r="E899" s="7" t="s">
        <v>1594</v>
      </c>
    </row>
    <row r="900">
      <c r="A900" s="3" t="s">
        <v>1579</v>
      </c>
      <c r="B900" s="4" t="s">
        <v>1595</v>
      </c>
      <c r="C900" s="5">
        <v>3669.0</v>
      </c>
      <c r="D900" s="8" t="str">
        <f>+37.154259°</f>
        <v>#ERROR!</v>
      </c>
      <c r="E900" s="7" t="s">
        <v>1596</v>
      </c>
    </row>
    <row r="901">
      <c r="A901" s="3" t="s">
        <v>1579</v>
      </c>
      <c r="B901" s="4" t="s">
        <v>835</v>
      </c>
      <c r="C901" s="5">
        <v>21603.0</v>
      </c>
      <c r="D901" s="8" t="str">
        <f>+37.169392°</f>
        <v>#ERROR!</v>
      </c>
      <c r="E901" s="7" t="s">
        <v>1597</v>
      </c>
    </row>
    <row r="902">
      <c r="A902" s="3" t="s">
        <v>1579</v>
      </c>
      <c r="B902" s="4" t="s">
        <v>540</v>
      </c>
      <c r="C902" s="5">
        <v>2726.0</v>
      </c>
      <c r="D902" s="8" t="str">
        <f>+39.789256°</f>
        <v>#ERROR!</v>
      </c>
      <c r="E902" s="7" t="s">
        <v>1598</v>
      </c>
    </row>
    <row r="903">
      <c r="A903" s="3" t="s">
        <v>1579</v>
      </c>
      <c r="B903" s="4" t="s">
        <v>291</v>
      </c>
      <c r="C903" s="5">
        <v>2215.0</v>
      </c>
      <c r="D903" s="8" t="str">
        <f>+37.233831°</f>
        <v>#ERROR!</v>
      </c>
      <c r="E903" s="7" t="s">
        <v>1599</v>
      </c>
    </row>
    <row r="904">
      <c r="A904" s="3" t="s">
        <v>1579</v>
      </c>
      <c r="B904" s="4" t="s">
        <v>42</v>
      </c>
      <c r="C904" s="5">
        <v>8535.0</v>
      </c>
      <c r="D904" s="8" t="str">
        <f>+39.344964°</f>
        <v>#ERROR!</v>
      </c>
      <c r="E904" s="7" t="s">
        <v>1600</v>
      </c>
    </row>
    <row r="905">
      <c r="A905" s="3" t="s">
        <v>1579</v>
      </c>
      <c r="B905" s="4" t="s">
        <v>1601</v>
      </c>
      <c r="C905" s="5">
        <v>9533.0</v>
      </c>
      <c r="D905" s="8" t="str">
        <f>+39.487329°</f>
        <v>#ERROR!</v>
      </c>
      <c r="E905" s="7" t="s">
        <v>1602</v>
      </c>
    </row>
    <row r="906">
      <c r="A906" s="3" t="s">
        <v>1579</v>
      </c>
      <c r="B906" s="4" t="s">
        <v>1603</v>
      </c>
      <c r="C906" s="5">
        <v>8601.0</v>
      </c>
      <c r="D906" s="8" t="str">
        <f>+38.236450°</f>
        <v>#ERROR!</v>
      </c>
      <c r="E906" s="7" t="s">
        <v>1604</v>
      </c>
    </row>
    <row r="907">
      <c r="A907" s="3" t="s">
        <v>1579</v>
      </c>
      <c r="B907" s="4" t="s">
        <v>1605</v>
      </c>
      <c r="C907" s="5">
        <v>1891.0</v>
      </c>
      <c r="D907" s="8" t="str">
        <f>+37.189071°</f>
        <v>#ERROR!</v>
      </c>
      <c r="E907" s="7" t="s">
        <v>1606</v>
      </c>
    </row>
    <row r="908">
      <c r="A908" s="3" t="s">
        <v>1579</v>
      </c>
      <c r="B908" s="4" t="s">
        <v>1607</v>
      </c>
      <c r="C908" s="5">
        <v>36311.0</v>
      </c>
      <c r="D908" s="8" t="str">
        <f>+37.234507°</f>
        <v>#ERROR!</v>
      </c>
      <c r="E908" s="7" t="s">
        <v>1608</v>
      </c>
    </row>
    <row r="909">
      <c r="A909" s="3" t="s">
        <v>1579</v>
      </c>
      <c r="B909" s="4" t="s">
        <v>303</v>
      </c>
      <c r="C909" s="5">
        <v>39134.0</v>
      </c>
      <c r="D909" s="8" t="str">
        <f>+37.505628°</f>
        <v>#ERROR!</v>
      </c>
      <c r="E909" s="7" t="s">
        <v>1609</v>
      </c>
    </row>
    <row r="910">
      <c r="A910" s="3" t="s">
        <v>1579</v>
      </c>
      <c r="B910" s="4" t="s">
        <v>860</v>
      </c>
      <c r="C910" s="5">
        <v>2961.0</v>
      </c>
      <c r="D910" s="8" t="str">
        <f>+39.783542°</f>
        <v>#ERROR!</v>
      </c>
      <c r="E910" s="7" t="s">
        <v>1610</v>
      </c>
    </row>
    <row r="911">
      <c r="A911" s="3" t="s">
        <v>1579</v>
      </c>
      <c r="B911" s="4" t="s">
        <v>1477</v>
      </c>
      <c r="C911" s="5">
        <v>19754.0</v>
      </c>
      <c r="D911" s="8" t="str">
        <f>+38.867735°</f>
        <v>#ERROR!</v>
      </c>
      <c r="E911" s="7" t="s">
        <v>1611</v>
      </c>
    </row>
    <row r="912">
      <c r="A912" s="3" t="s">
        <v>1579</v>
      </c>
      <c r="B912" s="4" t="s">
        <v>1612</v>
      </c>
      <c r="C912" s="5">
        <v>7945.0</v>
      </c>
      <c r="D912" s="8" t="str">
        <f>+39.788502°</f>
        <v>#ERROR!</v>
      </c>
      <c r="E912" s="7" t="s">
        <v>1613</v>
      </c>
    </row>
    <row r="913">
      <c r="A913" s="3" t="s">
        <v>1579</v>
      </c>
      <c r="B913" s="4" t="s">
        <v>558</v>
      </c>
      <c r="C913" s="5">
        <v>110826.0</v>
      </c>
      <c r="D913" s="8" t="str">
        <f>+38.896573°</f>
        <v>#ERROR!</v>
      </c>
      <c r="E913" s="7" t="s">
        <v>1614</v>
      </c>
    </row>
    <row r="914">
      <c r="A914" s="3" t="s">
        <v>1579</v>
      </c>
      <c r="B914" s="4" t="s">
        <v>1180</v>
      </c>
      <c r="C914" s="5">
        <v>3037.0</v>
      </c>
      <c r="D914" s="8" t="str">
        <f>+37.883595°</f>
        <v>#ERROR!</v>
      </c>
      <c r="E914" s="7" t="s">
        <v>1615</v>
      </c>
    </row>
    <row r="915">
      <c r="A915" s="3" t="s">
        <v>1579</v>
      </c>
      <c r="B915" s="4" t="s">
        <v>1616</v>
      </c>
      <c r="C915" s="5">
        <v>2882.0</v>
      </c>
      <c r="D915" s="8" t="str">
        <f>+37.456026°</f>
        <v>#ERROR!</v>
      </c>
      <c r="E915" s="7" t="s">
        <v>1617</v>
      </c>
    </row>
    <row r="916">
      <c r="A916" s="3" t="s">
        <v>1579</v>
      </c>
      <c r="B916" s="4" t="s">
        <v>1618</v>
      </c>
      <c r="C916" s="5">
        <v>28452.0</v>
      </c>
      <c r="D916" s="8" t="str">
        <f>+38.914596°</f>
        <v>#ERROR!</v>
      </c>
      <c r="E916" s="7" t="s">
        <v>1619</v>
      </c>
    </row>
    <row r="917">
      <c r="A917" s="3" t="s">
        <v>1579</v>
      </c>
      <c r="B917" s="4" t="s">
        <v>1620</v>
      </c>
      <c r="C917" s="5">
        <v>6497.0</v>
      </c>
      <c r="D917" s="8" t="str">
        <f>+38.700845°</f>
        <v>#ERROR!</v>
      </c>
      <c r="E917" s="7" t="s">
        <v>1621</v>
      </c>
    </row>
    <row r="918">
      <c r="A918" s="3" t="s">
        <v>1579</v>
      </c>
      <c r="B918" s="4" t="s">
        <v>1622</v>
      </c>
      <c r="C918" s="5">
        <v>36776.0</v>
      </c>
      <c r="D918" s="8" t="str">
        <f>+38.049855°</f>
        <v>#ERROR!</v>
      </c>
      <c r="E918" s="7" t="s">
        <v>1623</v>
      </c>
    </row>
    <row r="919">
      <c r="A919" s="3" t="s">
        <v>1579</v>
      </c>
      <c r="B919" s="4" t="s">
        <v>1184</v>
      </c>
      <c r="C919" s="5">
        <v>33848.0</v>
      </c>
      <c r="D919" s="8" t="str">
        <f>+37.688365°</f>
        <v>#ERROR!</v>
      </c>
      <c r="E919" s="7" t="s">
        <v>1624</v>
      </c>
    </row>
    <row r="920">
      <c r="A920" s="3" t="s">
        <v>1579</v>
      </c>
      <c r="B920" s="4" t="s">
        <v>90</v>
      </c>
      <c r="C920" s="5">
        <v>25992.0</v>
      </c>
      <c r="D920" s="8" t="str">
        <f>+38.558019°</f>
        <v>#ERROR!</v>
      </c>
      <c r="E920" s="7" t="s">
        <v>1625</v>
      </c>
    </row>
    <row r="921">
      <c r="A921" s="3" t="s">
        <v>1579</v>
      </c>
      <c r="B921" s="4" t="s">
        <v>1626</v>
      </c>
      <c r="C921" s="5">
        <v>34362.0</v>
      </c>
      <c r="D921" s="8" t="str">
        <f>+39.002155°</f>
        <v>#ERROR!</v>
      </c>
      <c r="E921" s="7" t="s">
        <v>1627</v>
      </c>
    </row>
    <row r="922">
      <c r="A922" s="3" t="s">
        <v>1579</v>
      </c>
      <c r="B922" s="4" t="s">
        <v>1628</v>
      </c>
      <c r="C922" s="5">
        <v>2695.0</v>
      </c>
      <c r="D922" s="8" t="str">
        <f>+38.917239°</f>
        <v>#ERROR!</v>
      </c>
      <c r="E922" s="7" t="s">
        <v>1629</v>
      </c>
    </row>
    <row r="923">
      <c r="A923" s="3" t="s">
        <v>1579</v>
      </c>
      <c r="B923" s="4" t="s">
        <v>251</v>
      </c>
      <c r="C923" s="5">
        <v>2597.0</v>
      </c>
      <c r="D923" s="8" t="str">
        <f>+39.349445°</f>
        <v>#ERROR!</v>
      </c>
      <c r="E923" s="7" t="s">
        <v>1630</v>
      </c>
    </row>
    <row r="924">
      <c r="A924" s="3" t="s">
        <v>1579</v>
      </c>
      <c r="B924" s="4" t="s">
        <v>321</v>
      </c>
      <c r="C924" s="5">
        <v>7829.0</v>
      </c>
      <c r="D924" s="8" t="str">
        <f>+37.547537°</f>
        <v>#ERROR!</v>
      </c>
      <c r="E924" s="7" t="s">
        <v>1631</v>
      </c>
    </row>
    <row r="925">
      <c r="A925" s="3" t="s">
        <v>1579</v>
      </c>
      <c r="B925" s="4" t="s">
        <v>1632</v>
      </c>
      <c r="C925" s="5">
        <v>6006.0</v>
      </c>
      <c r="D925" s="8" t="str">
        <f>+37.744513°</f>
        <v>#ERROR!</v>
      </c>
      <c r="E925" s="7" t="s">
        <v>1633</v>
      </c>
    </row>
    <row r="926">
      <c r="A926" s="3" t="s">
        <v>1579</v>
      </c>
      <c r="B926" s="4" t="s">
        <v>1634</v>
      </c>
      <c r="C926" s="5">
        <v>1247.0</v>
      </c>
      <c r="D926" s="8" t="str">
        <f>+38.480408°</f>
        <v>#ERROR!</v>
      </c>
      <c r="E926" s="7" t="s">
        <v>1635</v>
      </c>
    </row>
    <row r="927">
      <c r="A927" s="3" t="s">
        <v>1579</v>
      </c>
      <c r="B927" s="4" t="s">
        <v>1636</v>
      </c>
      <c r="C927" s="5">
        <v>6689.0</v>
      </c>
      <c r="D927" s="8" t="str">
        <f>+37.878659°</f>
        <v>#ERROR!</v>
      </c>
      <c r="E927" s="7" t="s">
        <v>1637</v>
      </c>
    </row>
    <row r="928">
      <c r="A928" s="3" t="s">
        <v>1579</v>
      </c>
      <c r="B928" s="4" t="s">
        <v>708</v>
      </c>
      <c r="C928" s="5">
        <v>2690.0</v>
      </c>
      <c r="D928" s="8" t="str">
        <f>+37.995244°</f>
        <v>#ERROR!</v>
      </c>
      <c r="E928" s="7" t="s">
        <v>1638</v>
      </c>
    </row>
    <row r="929">
      <c r="A929" s="3" t="s">
        <v>1579</v>
      </c>
      <c r="B929" s="4" t="s">
        <v>1639</v>
      </c>
      <c r="C929" s="5">
        <v>6034.0</v>
      </c>
      <c r="D929" s="8" t="str">
        <f>+37.188184°</f>
        <v>#ERROR!</v>
      </c>
      <c r="E929" s="7" t="s">
        <v>1640</v>
      </c>
    </row>
    <row r="930">
      <c r="A930" s="3" t="s">
        <v>1579</v>
      </c>
      <c r="B930" s="4" t="s">
        <v>1641</v>
      </c>
      <c r="C930" s="5">
        <v>34684.0</v>
      </c>
      <c r="D930" s="8" t="str">
        <f>+38.050144°</f>
        <v>#ERROR!</v>
      </c>
      <c r="E930" s="7" t="s">
        <v>1642</v>
      </c>
    </row>
    <row r="931">
      <c r="A931" s="3" t="s">
        <v>1579</v>
      </c>
      <c r="B931" s="4" t="s">
        <v>1643</v>
      </c>
      <c r="C931" s="5">
        <v>4256.0</v>
      </c>
      <c r="D931" s="8" t="str">
        <f>+37.558550°</f>
        <v>#ERROR!</v>
      </c>
      <c r="E931" s="7" t="s">
        <v>1644</v>
      </c>
    </row>
    <row r="932">
      <c r="A932" s="3" t="s">
        <v>1579</v>
      </c>
      <c r="B932" s="4" t="s">
        <v>1645</v>
      </c>
      <c r="C932" s="5">
        <v>1916.0</v>
      </c>
      <c r="D932" s="8" t="str">
        <f>+38.087493°</f>
        <v>#ERROR!</v>
      </c>
      <c r="E932" s="7" t="s">
        <v>1646</v>
      </c>
    </row>
    <row r="933">
      <c r="A933" s="3" t="s">
        <v>1579</v>
      </c>
      <c r="B933" s="4" t="s">
        <v>108</v>
      </c>
      <c r="C933" s="5">
        <v>13462.0</v>
      </c>
      <c r="D933" s="8" t="str">
        <f>+39.410989°</f>
        <v>#ERROR!</v>
      </c>
      <c r="E933" s="7" t="s">
        <v>1647</v>
      </c>
    </row>
    <row r="934">
      <c r="A934" s="3" t="s">
        <v>1579</v>
      </c>
      <c r="B934" s="4" t="s">
        <v>111</v>
      </c>
      <c r="C934" s="5">
        <v>19126.0</v>
      </c>
      <c r="D934" s="8" t="str">
        <f>+39.239644°</f>
        <v>#ERROR!</v>
      </c>
      <c r="E934" s="7" t="s">
        <v>1648</v>
      </c>
    </row>
    <row r="935">
      <c r="A935" s="3" t="s">
        <v>1579</v>
      </c>
      <c r="B935" s="4" t="s">
        <v>1649</v>
      </c>
      <c r="C935" s="5">
        <v>3077.0</v>
      </c>
      <c r="D935" s="8" t="str">
        <f>+39.777010°</f>
        <v>#ERROR!</v>
      </c>
      <c r="E935" s="7" t="s">
        <v>1650</v>
      </c>
    </row>
    <row r="936">
      <c r="A936" s="3" t="s">
        <v>1579</v>
      </c>
      <c r="B936" s="4" t="s">
        <v>336</v>
      </c>
      <c r="C936" s="5">
        <v>544179.0</v>
      </c>
      <c r="D936" s="8" t="str">
        <f>+38.883907°</f>
        <v>#ERROR!</v>
      </c>
      <c r="E936" s="7" t="s">
        <v>1651</v>
      </c>
    </row>
    <row r="937">
      <c r="A937" s="3" t="s">
        <v>1579</v>
      </c>
      <c r="B937" s="4" t="s">
        <v>1652</v>
      </c>
      <c r="C937" s="5">
        <v>3977.0</v>
      </c>
      <c r="D937" s="8" t="str">
        <f>+37.994461°</f>
        <v>#ERROR!</v>
      </c>
      <c r="E937" s="7" t="s">
        <v>1653</v>
      </c>
    </row>
    <row r="938">
      <c r="A938" s="3" t="s">
        <v>1579</v>
      </c>
      <c r="B938" s="4" t="s">
        <v>1654</v>
      </c>
      <c r="C938" s="5">
        <v>7858.0</v>
      </c>
      <c r="D938" s="8" t="str">
        <f>+37.552951°</f>
        <v>#ERROR!</v>
      </c>
      <c r="E938" s="7" t="s">
        <v>1655</v>
      </c>
    </row>
    <row r="939">
      <c r="A939" s="3" t="s">
        <v>1579</v>
      </c>
      <c r="B939" s="4" t="s">
        <v>582</v>
      </c>
      <c r="C939" s="5">
        <v>2553.0</v>
      </c>
      <c r="D939" s="8" t="str">
        <f>+37.561231°</f>
        <v>#ERROR!</v>
      </c>
      <c r="E939" s="7" t="s">
        <v>1656</v>
      </c>
    </row>
    <row r="940">
      <c r="A940" s="3" t="s">
        <v>1579</v>
      </c>
      <c r="B940" s="4" t="s">
        <v>1657</v>
      </c>
      <c r="C940" s="5">
        <v>21607.0</v>
      </c>
      <c r="D940" s="8" t="str">
        <f>+37.191468°</f>
        <v>#ERROR!</v>
      </c>
      <c r="E940" s="7" t="s">
        <v>1658</v>
      </c>
    </row>
    <row r="941">
      <c r="A941" s="3" t="s">
        <v>1579</v>
      </c>
      <c r="B941" s="4" t="s">
        <v>1659</v>
      </c>
      <c r="C941" s="5">
        <v>1750.0</v>
      </c>
      <c r="D941" s="8" t="str">
        <f>+38.481286°</f>
        <v>#ERROR!</v>
      </c>
      <c r="E941" s="7" t="s">
        <v>1660</v>
      </c>
    </row>
    <row r="942">
      <c r="A942" s="3" t="s">
        <v>1579</v>
      </c>
      <c r="B942" s="4" t="s">
        <v>1661</v>
      </c>
      <c r="C942" s="5">
        <v>76227.0</v>
      </c>
      <c r="D942" s="8" t="str">
        <f>+39.189511°</f>
        <v>#ERROR!</v>
      </c>
      <c r="E942" s="7" t="s">
        <v>1662</v>
      </c>
    </row>
    <row r="943">
      <c r="A943" s="3" t="s">
        <v>1579</v>
      </c>
      <c r="B943" s="4" t="s">
        <v>342</v>
      </c>
      <c r="C943" s="5">
        <v>3241.0</v>
      </c>
      <c r="D943" s="8" t="str">
        <f>+39.047276°</f>
        <v>#ERROR!</v>
      </c>
      <c r="E943" s="7" t="s">
        <v>1663</v>
      </c>
    </row>
    <row r="944">
      <c r="A944" s="3" t="s">
        <v>1579</v>
      </c>
      <c r="B944" s="4" t="s">
        <v>1512</v>
      </c>
      <c r="C944" s="5">
        <v>9656.0</v>
      </c>
      <c r="D944" s="8" t="str">
        <f>+38.216549°</f>
        <v>#ERROR!</v>
      </c>
      <c r="E944" s="7" t="s">
        <v>1664</v>
      </c>
    </row>
    <row r="945">
      <c r="A945" s="3" t="s">
        <v>1579</v>
      </c>
      <c r="B945" s="4" t="s">
        <v>346</v>
      </c>
      <c r="C945" s="5">
        <v>2756.0</v>
      </c>
      <c r="D945" s="8" t="str">
        <f>+38.913270°</f>
        <v>#ERROR!</v>
      </c>
      <c r="E945" s="7" t="s">
        <v>1665</v>
      </c>
    </row>
    <row r="946">
      <c r="A946" s="3" t="s">
        <v>1579</v>
      </c>
      <c r="B946" s="4" t="s">
        <v>1518</v>
      </c>
      <c r="C946" s="5">
        <v>33690.0</v>
      </c>
      <c r="D946" s="8" t="str">
        <f>+38.455498°</f>
        <v>#ERROR!</v>
      </c>
      <c r="E946" s="7" t="s">
        <v>1666</v>
      </c>
    </row>
    <row r="947">
      <c r="A947" s="3" t="s">
        <v>1579</v>
      </c>
      <c r="B947" s="4" t="s">
        <v>1667</v>
      </c>
      <c r="C947" s="5">
        <v>29180.0</v>
      </c>
      <c r="D947" s="8" t="str">
        <f>+38.395812°</f>
        <v>#ERROR!</v>
      </c>
      <c r="E947" s="7" t="s">
        <v>1668</v>
      </c>
    </row>
    <row r="948">
      <c r="A948" s="3" t="s">
        <v>1579</v>
      </c>
      <c r="B948" s="4" t="s">
        <v>141</v>
      </c>
      <c r="C948" s="5">
        <v>12660.0</v>
      </c>
      <c r="D948" s="8" t="str">
        <f>+38.359647°</f>
        <v>#ERROR!</v>
      </c>
      <c r="E948" s="7" t="s">
        <v>1669</v>
      </c>
    </row>
    <row r="949">
      <c r="A949" s="3" t="s">
        <v>1579</v>
      </c>
      <c r="B949" s="4" t="s">
        <v>143</v>
      </c>
      <c r="C949" s="5">
        <v>10117.0</v>
      </c>
      <c r="D949" s="8" t="str">
        <f>+39.782709°</f>
        <v>#ERROR!</v>
      </c>
      <c r="E949" s="7" t="s">
        <v>1670</v>
      </c>
    </row>
    <row r="950">
      <c r="A950" s="3" t="s">
        <v>1579</v>
      </c>
      <c r="B950" s="4" t="s">
        <v>1671</v>
      </c>
      <c r="C950" s="5">
        <v>4575.0</v>
      </c>
      <c r="D950" s="8" t="str">
        <f>+37.243886°</f>
        <v>#ERROR!</v>
      </c>
      <c r="E950" s="7" t="s">
        <v>1672</v>
      </c>
    </row>
    <row r="951">
      <c r="A951" s="3" t="s">
        <v>1579</v>
      </c>
      <c r="B951" s="4" t="s">
        <v>1370</v>
      </c>
      <c r="C951" s="5">
        <v>32787.0</v>
      </c>
      <c r="D951" s="8" t="str">
        <f>+38.566772°</f>
        <v>#ERROR!</v>
      </c>
      <c r="E951" s="7" t="s">
        <v>1673</v>
      </c>
    </row>
    <row r="952">
      <c r="A952" s="3" t="s">
        <v>1579</v>
      </c>
      <c r="B952" s="4" t="s">
        <v>955</v>
      </c>
      <c r="C952" s="5">
        <v>6373.0</v>
      </c>
      <c r="D952" s="8" t="str">
        <f>+39.393026°</f>
        <v>#ERROR!</v>
      </c>
      <c r="E952" s="7" t="s">
        <v>1674</v>
      </c>
    </row>
    <row r="953">
      <c r="A953" s="3" t="s">
        <v>1579</v>
      </c>
      <c r="B953" s="4" t="s">
        <v>149</v>
      </c>
      <c r="C953" s="5">
        <v>35471.0</v>
      </c>
      <c r="D953" s="8" t="str">
        <f>+37.189537°</f>
        <v>#ERROR!</v>
      </c>
      <c r="E953" s="7" t="s">
        <v>1675</v>
      </c>
    </row>
    <row r="954">
      <c r="A954" s="3" t="s">
        <v>1579</v>
      </c>
      <c r="B954" s="4" t="s">
        <v>1676</v>
      </c>
      <c r="C954" s="5">
        <v>5923.0</v>
      </c>
      <c r="D954" s="8" t="str">
        <f>+38.687696°</f>
        <v>#ERROR!</v>
      </c>
      <c r="E954" s="7" t="s">
        <v>1677</v>
      </c>
    </row>
    <row r="955">
      <c r="A955" s="3" t="s">
        <v>1579</v>
      </c>
      <c r="B955" s="4" t="s">
        <v>1678</v>
      </c>
      <c r="C955" s="5">
        <v>3233.0</v>
      </c>
      <c r="D955" s="8" t="str">
        <f>+37.185250°</f>
        <v>#ERROR!</v>
      </c>
      <c r="E955" s="7" t="s">
        <v>1679</v>
      </c>
    </row>
    <row r="956">
      <c r="A956" s="3" t="s">
        <v>1579</v>
      </c>
      <c r="B956" s="4" t="s">
        <v>1680</v>
      </c>
      <c r="C956" s="5">
        <v>10178.0</v>
      </c>
      <c r="D956" s="8" t="str">
        <f>+39.791043°</f>
        <v>#ERROR!</v>
      </c>
      <c r="E956" s="7" t="s">
        <v>1681</v>
      </c>
    </row>
    <row r="957">
      <c r="A957" s="3" t="s">
        <v>1579</v>
      </c>
      <c r="B957" s="4" t="s">
        <v>1682</v>
      </c>
      <c r="C957" s="5">
        <v>16512.0</v>
      </c>
      <c r="D957" s="8" t="str">
        <f>+37.564283°</f>
        <v>#ERROR!</v>
      </c>
      <c r="E957" s="7" t="s">
        <v>1683</v>
      </c>
    </row>
    <row r="958">
      <c r="A958" s="3" t="s">
        <v>1579</v>
      </c>
      <c r="B958" s="4" t="s">
        <v>1684</v>
      </c>
      <c r="C958" s="5">
        <v>3107.0</v>
      </c>
      <c r="D958" s="8" t="str">
        <f>+38.480437°</f>
        <v>#ERROR!</v>
      </c>
      <c r="E958" s="7" t="s">
        <v>1685</v>
      </c>
    </row>
    <row r="959">
      <c r="A959" s="3" t="s">
        <v>1579</v>
      </c>
      <c r="B959" s="4" t="s">
        <v>1686</v>
      </c>
      <c r="C959" s="5">
        <v>5671.0</v>
      </c>
      <c r="D959" s="8" t="str">
        <f>+39.783867°</f>
        <v>#ERROR!</v>
      </c>
      <c r="E959" s="7" t="s">
        <v>1687</v>
      </c>
    </row>
    <row r="960">
      <c r="A960" s="3" t="s">
        <v>1579</v>
      </c>
      <c r="B960" s="4" t="s">
        <v>1688</v>
      </c>
      <c r="C960" s="5">
        <v>16295.0</v>
      </c>
      <c r="D960" s="8" t="str">
        <f>+38.649706°</f>
        <v>#ERROR!</v>
      </c>
      <c r="E960" s="7" t="s">
        <v>1689</v>
      </c>
    </row>
    <row r="961">
      <c r="A961" s="3" t="s">
        <v>1579</v>
      </c>
      <c r="B961" s="4" t="s">
        <v>1690</v>
      </c>
      <c r="C961" s="5">
        <v>3858.0</v>
      </c>
      <c r="D961" s="8" t="str">
        <f>+39.348649°</f>
        <v>#ERROR!</v>
      </c>
      <c r="E961" s="7" t="s">
        <v>1691</v>
      </c>
    </row>
    <row r="962">
      <c r="A962" s="3" t="s">
        <v>1579</v>
      </c>
      <c r="B962" s="4" t="s">
        <v>1692</v>
      </c>
      <c r="C962" s="5">
        <v>6091.0</v>
      </c>
      <c r="D962" s="8" t="str">
        <f>+39.137963°</f>
        <v>#ERROR!</v>
      </c>
      <c r="E962" s="7" t="s">
        <v>1693</v>
      </c>
    </row>
    <row r="963">
      <c r="A963" s="3" t="s">
        <v>1579</v>
      </c>
      <c r="B963" s="4" t="s">
        <v>1694</v>
      </c>
      <c r="C963" s="5">
        <v>6973.0</v>
      </c>
      <c r="D963" s="8" t="str">
        <f>+38.182873°</f>
        <v>#ERROR!</v>
      </c>
      <c r="E963" s="7" t="s">
        <v>1695</v>
      </c>
    </row>
    <row r="964">
      <c r="A964" s="3" t="s">
        <v>1579</v>
      </c>
      <c r="B964" s="4" t="s">
        <v>365</v>
      </c>
      <c r="C964" s="5">
        <v>5642.0</v>
      </c>
      <c r="D964" s="8" t="str">
        <f>+39.784506°</f>
        <v>#ERROR!</v>
      </c>
      <c r="E964" s="7" t="s">
        <v>1696</v>
      </c>
    </row>
    <row r="965">
      <c r="A965" s="3" t="s">
        <v>1579</v>
      </c>
      <c r="B965" s="4" t="s">
        <v>1697</v>
      </c>
      <c r="C965" s="5">
        <v>21604.0</v>
      </c>
      <c r="D965" s="8" t="str">
        <f>+39.382187°</f>
        <v>#ERROR!</v>
      </c>
      <c r="E965" s="7" t="s">
        <v>1698</v>
      </c>
    </row>
    <row r="966">
      <c r="A966" s="3" t="s">
        <v>1579</v>
      </c>
      <c r="B966" s="4" t="s">
        <v>1699</v>
      </c>
      <c r="C966" s="5">
        <v>9656.0</v>
      </c>
      <c r="D966" s="8" t="str">
        <f>+37.647594°</f>
        <v>#ERROR!</v>
      </c>
      <c r="E966" s="7" t="s">
        <v>1700</v>
      </c>
    </row>
    <row r="967">
      <c r="A967" s="3" t="s">
        <v>1579</v>
      </c>
      <c r="B967" s="4" t="s">
        <v>1701</v>
      </c>
      <c r="C967" s="5">
        <v>2519.0</v>
      </c>
      <c r="D967" s="8" t="str">
        <f>+39.786198°</f>
        <v>#ERROR!</v>
      </c>
      <c r="E967" s="7" t="s">
        <v>1702</v>
      </c>
    </row>
    <row r="968">
      <c r="A968" s="3" t="s">
        <v>1579</v>
      </c>
      <c r="B968" s="4" t="s">
        <v>1703</v>
      </c>
      <c r="C968" s="5">
        <v>64511.0</v>
      </c>
      <c r="D968" s="8" t="str">
        <f>+37.948185°</f>
        <v>#ERROR!</v>
      </c>
      <c r="E968" s="7" t="s">
        <v>1704</v>
      </c>
    </row>
    <row r="969">
      <c r="A969" s="3" t="s">
        <v>1579</v>
      </c>
      <c r="B969" s="4" t="s">
        <v>1705</v>
      </c>
      <c r="C969" s="5">
        <v>4980.0</v>
      </c>
      <c r="D969" s="8" t="str">
        <f>+39.828910°</f>
        <v>#ERROR!</v>
      </c>
      <c r="E969" s="7" t="s">
        <v>1706</v>
      </c>
    </row>
    <row r="970">
      <c r="A970" s="3" t="s">
        <v>1579</v>
      </c>
      <c r="B970" s="4" t="s">
        <v>1707</v>
      </c>
      <c r="C970" s="5">
        <v>10083.0</v>
      </c>
      <c r="D970" s="8" t="str">
        <f>+38.347178°</f>
        <v>#ERROR!</v>
      </c>
      <c r="E970" s="7" t="s">
        <v>1708</v>
      </c>
    </row>
    <row r="971">
      <c r="A971" s="3" t="s">
        <v>1579</v>
      </c>
      <c r="B971" s="4" t="s">
        <v>1709</v>
      </c>
      <c r="C971" s="5">
        <v>71115.0</v>
      </c>
      <c r="D971" s="8" t="str">
        <f>+39.291211°</f>
        <v>#ERROR!</v>
      </c>
      <c r="E971" s="7" t="s">
        <v>1710</v>
      </c>
    </row>
    <row r="972">
      <c r="A972" s="3" t="s">
        <v>1579</v>
      </c>
      <c r="B972" s="4" t="s">
        <v>1711</v>
      </c>
      <c r="C972" s="5">
        <v>5181.0</v>
      </c>
      <c r="D972" s="8" t="str">
        <f>+39.346006°</f>
        <v>#ERROR!</v>
      </c>
      <c r="E972" s="7" t="s">
        <v>1712</v>
      </c>
    </row>
    <row r="973">
      <c r="A973" s="3" t="s">
        <v>1579</v>
      </c>
      <c r="B973" s="4" t="s">
        <v>1396</v>
      </c>
      <c r="C973" s="5">
        <v>3307.0</v>
      </c>
      <c r="D973" s="8" t="str">
        <f>+38.523592°</f>
        <v>#ERROR!</v>
      </c>
      <c r="E973" s="7" t="s">
        <v>1713</v>
      </c>
    </row>
    <row r="974">
      <c r="A974" s="3" t="s">
        <v>1579</v>
      </c>
      <c r="B974" s="4" t="s">
        <v>161</v>
      </c>
      <c r="C974" s="5">
        <v>6970.0</v>
      </c>
      <c r="D974" s="8" t="str">
        <f>+38.916839°</f>
        <v>#ERROR!</v>
      </c>
      <c r="E974" s="7" t="s">
        <v>1714</v>
      </c>
    </row>
    <row r="975">
      <c r="A975" s="3" t="s">
        <v>1579</v>
      </c>
      <c r="B975" s="4" t="s">
        <v>381</v>
      </c>
      <c r="C975" s="5">
        <v>55606.0</v>
      </c>
      <c r="D975" s="8" t="str">
        <f>+38.786327°</f>
        <v>#ERROR!</v>
      </c>
      <c r="E975" s="7" t="s">
        <v>1715</v>
      </c>
    </row>
    <row r="976">
      <c r="A976" s="3" t="s">
        <v>1579</v>
      </c>
      <c r="B976" s="4" t="s">
        <v>383</v>
      </c>
      <c r="C976" s="5">
        <v>4936.0</v>
      </c>
      <c r="D976" s="8" t="str">
        <f>+38.481877°</f>
        <v>#ERROR!</v>
      </c>
      <c r="E976" s="7" t="s">
        <v>1716</v>
      </c>
    </row>
    <row r="977">
      <c r="A977" s="3" t="s">
        <v>1579</v>
      </c>
      <c r="B977" s="4" t="s">
        <v>631</v>
      </c>
      <c r="C977" s="5">
        <v>498365.0</v>
      </c>
      <c r="D977" s="8" t="str">
        <f>+37.683807°</f>
        <v>#ERROR!</v>
      </c>
      <c r="E977" s="7" t="s">
        <v>1717</v>
      </c>
    </row>
    <row r="978">
      <c r="A978" s="3" t="s">
        <v>1579</v>
      </c>
      <c r="B978" s="4" t="s">
        <v>1718</v>
      </c>
      <c r="C978" s="5">
        <v>22952.0</v>
      </c>
      <c r="D978" s="8" t="str">
        <f>+37.180585°</f>
        <v>#ERROR!</v>
      </c>
      <c r="E978" s="7" t="s">
        <v>1719</v>
      </c>
    </row>
    <row r="979">
      <c r="A979" s="3" t="s">
        <v>1579</v>
      </c>
      <c r="B979" s="4" t="s">
        <v>1720</v>
      </c>
      <c r="C979" s="5">
        <v>177934.0</v>
      </c>
      <c r="D979" s="8" t="str">
        <f>+39.041805°</f>
        <v>#ERROR!</v>
      </c>
      <c r="E979" s="7" t="s">
        <v>1721</v>
      </c>
    </row>
    <row r="980">
      <c r="A980" s="3" t="s">
        <v>1579</v>
      </c>
      <c r="B980" s="4" t="s">
        <v>1722</v>
      </c>
      <c r="C980" s="5">
        <v>2556.0</v>
      </c>
      <c r="D980" s="8" t="str">
        <f>+39.350543°</f>
        <v>#ERROR!</v>
      </c>
      <c r="E980" s="7" t="s">
        <v>1723</v>
      </c>
    </row>
    <row r="981">
      <c r="A981" s="3" t="s">
        <v>1579</v>
      </c>
      <c r="B981" s="4" t="s">
        <v>1724</v>
      </c>
      <c r="C981" s="5">
        <v>6010.0</v>
      </c>
      <c r="D981" s="8" t="str">
        <f>+39.351352°</f>
        <v>#ERROR!</v>
      </c>
      <c r="E981" s="7" t="s">
        <v>1725</v>
      </c>
    </row>
    <row r="982">
      <c r="A982" s="3" t="s">
        <v>1579</v>
      </c>
      <c r="B982" s="4" t="s">
        <v>1726</v>
      </c>
      <c r="C982" s="5">
        <v>3853.0</v>
      </c>
      <c r="D982" s="8" t="str">
        <f>+39.784660°</f>
        <v>#ERROR!</v>
      </c>
      <c r="E982" s="7" t="s">
        <v>1727</v>
      </c>
    </row>
    <row r="983">
      <c r="A983" s="3" t="s">
        <v>1579</v>
      </c>
      <c r="B983" s="4" t="s">
        <v>1728</v>
      </c>
      <c r="C983" s="5">
        <v>4437.0</v>
      </c>
      <c r="D983" s="8" t="str">
        <f>+38.035630°</f>
        <v>#ERROR!</v>
      </c>
      <c r="E983" s="7" t="s">
        <v>1729</v>
      </c>
    </row>
    <row r="984">
      <c r="A984" s="3" t="s">
        <v>1579</v>
      </c>
      <c r="B984" s="4" t="s">
        <v>1730</v>
      </c>
      <c r="C984" s="5">
        <v>2235.0</v>
      </c>
      <c r="D984" s="8" t="str">
        <f>+37.565932°</f>
        <v>#ERROR!</v>
      </c>
      <c r="E984" s="7" t="s">
        <v>1731</v>
      </c>
    </row>
    <row r="985">
      <c r="A985" s="3" t="s">
        <v>1579</v>
      </c>
      <c r="B985" s="4" t="s">
        <v>1732</v>
      </c>
      <c r="C985" s="5">
        <v>5724.0</v>
      </c>
      <c r="D985" s="8" t="str">
        <f>+37.202356°</f>
        <v>#ERROR!</v>
      </c>
      <c r="E985" s="7" t="s">
        <v>1733</v>
      </c>
    </row>
    <row r="986">
      <c r="A986" s="3" t="s">
        <v>1579</v>
      </c>
      <c r="B986" s="4" t="s">
        <v>1734</v>
      </c>
      <c r="C986" s="5">
        <v>24132.0</v>
      </c>
      <c r="D986" s="8" t="str">
        <f>+37.236663°</f>
        <v>#ERROR!</v>
      </c>
      <c r="E986" s="7" t="s">
        <v>1735</v>
      </c>
    </row>
    <row r="987">
      <c r="A987" s="3" t="s">
        <v>1579</v>
      </c>
      <c r="B987" s="4" t="s">
        <v>1012</v>
      </c>
      <c r="C987" s="5">
        <v>7900.0</v>
      </c>
      <c r="D987" s="8" t="str">
        <f>+39.357706°</f>
        <v>#ERROR!</v>
      </c>
      <c r="E987" s="7" t="s">
        <v>1736</v>
      </c>
    </row>
    <row r="988">
      <c r="A988" s="3" t="s">
        <v>1579</v>
      </c>
      <c r="B988" s="4" t="s">
        <v>1737</v>
      </c>
      <c r="C988" s="5">
        <v>3001.0</v>
      </c>
      <c r="D988" s="8" t="str">
        <f>+38.921302°</f>
        <v>#ERROR!</v>
      </c>
      <c r="E988" s="7" t="s">
        <v>1738</v>
      </c>
    </row>
    <row r="989">
      <c r="A989" s="3" t="s">
        <v>1579</v>
      </c>
      <c r="B989" s="4" t="s">
        <v>1739</v>
      </c>
      <c r="C989" s="5">
        <v>7053.0</v>
      </c>
      <c r="D989" s="8" t="str">
        <f>+38.955154°</f>
        <v>#ERROR!</v>
      </c>
      <c r="E989" s="7" t="s">
        <v>1740</v>
      </c>
    </row>
    <row r="990">
      <c r="A990" s="3" t="s">
        <v>1579</v>
      </c>
      <c r="B990" s="4" t="s">
        <v>1741</v>
      </c>
      <c r="C990" s="5">
        <v>1485.0</v>
      </c>
      <c r="D990" s="8" t="str">
        <f>+38.926626°</f>
        <v>#ERROR!</v>
      </c>
      <c r="E990" s="7" t="s">
        <v>1742</v>
      </c>
    </row>
    <row r="991">
      <c r="A991" s="3" t="s">
        <v>1579</v>
      </c>
      <c r="B991" s="4" t="s">
        <v>177</v>
      </c>
      <c r="C991" s="5">
        <v>5799.0</v>
      </c>
      <c r="D991" s="8" t="str">
        <f>+39.776714°</f>
        <v>#ERROR!</v>
      </c>
      <c r="E991" s="7" t="s">
        <v>1743</v>
      </c>
    </row>
    <row r="992">
      <c r="A992" s="3" t="s">
        <v>1579</v>
      </c>
      <c r="B992" s="4" t="s">
        <v>1744</v>
      </c>
      <c r="C992" s="5">
        <v>2234.0</v>
      </c>
      <c r="D992" s="8" t="str">
        <f>+38.481922°</f>
        <v>#ERROR!</v>
      </c>
      <c r="E992" s="7" t="s">
        <v>1745</v>
      </c>
    </row>
    <row r="993">
      <c r="A993" s="3" t="s">
        <v>1579</v>
      </c>
      <c r="B993" s="4" t="s">
        <v>1746</v>
      </c>
      <c r="C993" s="5">
        <v>9409.0</v>
      </c>
      <c r="D993" s="8" t="str">
        <f>+37.558515°</f>
        <v>#ERROR!</v>
      </c>
      <c r="E993" s="7" t="s">
        <v>1747</v>
      </c>
    </row>
    <row r="994">
      <c r="A994" s="3" t="s">
        <v>1579</v>
      </c>
      <c r="B994" s="4" t="s">
        <v>1748</v>
      </c>
      <c r="C994" s="5">
        <v>3309.0</v>
      </c>
      <c r="D994" s="8" t="str">
        <f>+37.888484°</f>
        <v>#ERROR!</v>
      </c>
      <c r="E994" s="7" t="s">
        <v>1749</v>
      </c>
    </row>
    <row r="995">
      <c r="A995" s="3" t="s">
        <v>1579</v>
      </c>
      <c r="B995" s="4" t="s">
        <v>1750</v>
      </c>
      <c r="C995" s="5">
        <v>157505.0</v>
      </c>
      <c r="D995" s="8" t="str">
        <f>+39.115384°</f>
        <v>#ERROR!</v>
      </c>
      <c r="E995" s="7" t="s">
        <v>1751</v>
      </c>
    </row>
    <row r="996">
      <c r="A996" s="3" t="s">
        <v>1752</v>
      </c>
      <c r="B996" s="4" t="s">
        <v>1435</v>
      </c>
      <c r="C996" s="5">
        <v>18656.0</v>
      </c>
      <c r="D996" s="8" t="str">
        <f>+37.105541°</f>
        <v>#ERROR!</v>
      </c>
      <c r="E996" s="7" t="s">
        <v>1753</v>
      </c>
    </row>
    <row r="997">
      <c r="A997" s="3" t="s">
        <v>1752</v>
      </c>
      <c r="B997" s="4" t="s">
        <v>1302</v>
      </c>
      <c r="C997" s="5">
        <v>19956.0</v>
      </c>
      <c r="D997" s="8" t="str">
        <f>+36.750770°</f>
        <v>#ERROR!</v>
      </c>
      <c r="E997" s="7" t="s">
        <v>1754</v>
      </c>
    </row>
    <row r="998">
      <c r="A998" s="3" t="s">
        <v>1752</v>
      </c>
      <c r="B998" s="4" t="s">
        <v>1581</v>
      </c>
      <c r="C998" s="5">
        <v>21421.0</v>
      </c>
      <c r="D998" s="8" t="str">
        <f>+38.005396°</f>
        <v>#ERROR!</v>
      </c>
      <c r="E998" s="7" t="s">
        <v>1755</v>
      </c>
    </row>
    <row r="999">
      <c r="A999" s="3" t="s">
        <v>1752</v>
      </c>
      <c r="B999" s="4" t="s">
        <v>1756</v>
      </c>
      <c r="C999" s="5">
        <v>8249.0</v>
      </c>
      <c r="D999" s="8" t="str">
        <f>+37.051120°</f>
        <v>#ERROR!</v>
      </c>
      <c r="E999" s="7" t="s">
        <v>1757</v>
      </c>
    </row>
    <row r="1000">
      <c r="A1000" s="3" t="s">
        <v>1752</v>
      </c>
      <c r="B1000" s="4" t="s">
        <v>1758</v>
      </c>
      <c r="C1000" s="5">
        <v>42173.0</v>
      </c>
      <c r="D1000" s="8" t="str">
        <f>+36.963614°</f>
        <v>#ERROR!</v>
      </c>
      <c r="E1000" s="7" t="s">
        <v>1759</v>
      </c>
    </row>
    <row r="1001">
      <c r="A1001" s="3" t="s">
        <v>1752</v>
      </c>
      <c r="B1001" s="4" t="s">
        <v>1760</v>
      </c>
      <c r="C1001" s="5">
        <v>11591.0</v>
      </c>
      <c r="D1001" s="8" t="str">
        <f>+38.152249°</f>
        <v>#ERROR!</v>
      </c>
      <c r="E1001" s="7" t="s">
        <v>1761</v>
      </c>
    </row>
    <row r="1002">
      <c r="A1002" s="3" t="s">
        <v>1752</v>
      </c>
      <c r="B1002" s="4" t="s">
        <v>1762</v>
      </c>
      <c r="C1002" s="5">
        <v>28691.0</v>
      </c>
      <c r="D1002" s="8" t="str">
        <f>+36.722680°</f>
        <v>#ERROR!</v>
      </c>
      <c r="E1002" s="7" t="s">
        <v>1763</v>
      </c>
    </row>
    <row r="1003">
      <c r="A1003" s="3" t="s">
        <v>1752</v>
      </c>
      <c r="B1003" s="4" t="s">
        <v>282</v>
      </c>
      <c r="C1003" s="5">
        <v>118811.0</v>
      </c>
      <c r="D1003" s="8" t="str">
        <f>+38.974595°</f>
        <v>#ERROR!</v>
      </c>
      <c r="E1003" s="7" t="s">
        <v>1764</v>
      </c>
    </row>
    <row r="1004">
      <c r="A1004" s="3" t="s">
        <v>1752</v>
      </c>
      <c r="B1004" s="4" t="s">
        <v>1589</v>
      </c>
      <c r="C1004" s="5">
        <v>19985.0</v>
      </c>
      <c r="D1004" s="8" t="str">
        <f>+38.202562°</f>
        <v>#ERROR!</v>
      </c>
      <c r="E1004" s="7" t="s">
        <v>1765</v>
      </c>
    </row>
    <row r="1005">
      <c r="A1005" s="3" t="s">
        <v>1752</v>
      </c>
      <c r="B1005" s="4" t="s">
        <v>1766</v>
      </c>
      <c r="C1005" s="5">
        <v>49542.0</v>
      </c>
      <c r="D1005" s="8" t="str">
        <f>+38.360004°</f>
        <v>#ERROR!</v>
      </c>
      <c r="E1005" s="7" t="s">
        <v>1767</v>
      </c>
    </row>
    <row r="1006">
      <c r="A1006" s="3" t="s">
        <v>1752</v>
      </c>
      <c r="B1006" s="4" t="s">
        <v>1768</v>
      </c>
      <c r="C1006" s="5">
        <v>28432.0</v>
      </c>
      <c r="D1006" s="8" t="str">
        <f>+37.618200°</f>
        <v>#ERROR!</v>
      </c>
      <c r="E1006" s="7" t="s">
        <v>1769</v>
      </c>
    </row>
    <row r="1007">
      <c r="A1007" s="3" t="s">
        <v>1752</v>
      </c>
      <c r="B1007" s="4" t="s">
        <v>1770</v>
      </c>
      <c r="C1007" s="5">
        <v>8488.0</v>
      </c>
      <c r="D1007" s="8" t="str">
        <f>+38.678523°</f>
        <v>#ERROR!</v>
      </c>
      <c r="E1007" s="7" t="s">
        <v>1771</v>
      </c>
    </row>
    <row r="1008">
      <c r="A1008" s="3" t="s">
        <v>1752</v>
      </c>
      <c r="B1008" s="4" t="s">
        <v>1772</v>
      </c>
      <c r="C1008" s="5">
        <v>13878.0</v>
      </c>
      <c r="D1008" s="8" t="str">
        <f>+37.521178°</f>
        <v>#ERROR!</v>
      </c>
      <c r="E1008" s="7" t="s">
        <v>1773</v>
      </c>
    </row>
    <row r="1009">
      <c r="A1009" s="3" t="s">
        <v>1752</v>
      </c>
      <c r="B1009" s="4" t="s">
        <v>1774</v>
      </c>
      <c r="C1009" s="5">
        <v>20059.0</v>
      </c>
      <c r="D1009" s="8" t="str">
        <f>+37.778109°</f>
        <v>#ERROR!</v>
      </c>
      <c r="E1009" s="7" t="s">
        <v>1775</v>
      </c>
    </row>
    <row r="1010">
      <c r="A1010" s="3" t="s">
        <v>1752</v>
      </c>
      <c r="B1010" s="4" t="s">
        <v>1776</v>
      </c>
      <c r="C1010" s="5">
        <v>74319.0</v>
      </c>
      <c r="D1010" s="8" t="str">
        <f>+37.969572°</f>
        <v>#ERROR!</v>
      </c>
      <c r="E1010" s="7" t="s">
        <v>1777</v>
      </c>
    </row>
    <row r="1011">
      <c r="A1011" s="3" t="s">
        <v>1752</v>
      </c>
      <c r="B1011" s="4" t="s">
        <v>24</v>
      </c>
      <c r="C1011" s="5">
        <v>12690.0</v>
      </c>
      <c r="D1011" s="8" t="str">
        <f>+37.207013°</f>
        <v>#ERROR!</v>
      </c>
      <c r="E1011" s="7" t="s">
        <v>1778</v>
      </c>
    </row>
    <row r="1012">
      <c r="A1012" s="3" t="s">
        <v>1752</v>
      </c>
      <c r="B1012" s="4" t="s">
        <v>1779</v>
      </c>
      <c r="C1012" s="5">
        <v>12984.0</v>
      </c>
      <c r="D1012" s="8" t="str">
        <f>+37.148643°</f>
        <v>#ERROR!</v>
      </c>
      <c r="E1012" s="7" t="s">
        <v>1780</v>
      </c>
    </row>
    <row r="1013">
      <c r="A1013" s="3" t="s">
        <v>1752</v>
      </c>
      <c r="B1013" s="4" t="s">
        <v>1781</v>
      </c>
      <c r="C1013" s="5">
        <v>37191.0</v>
      </c>
      <c r="D1013" s="8" t="str">
        <f>+36.620978°</f>
        <v>#ERROR!</v>
      </c>
      <c r="E1013" s="7" t="s">
        <v>1782</v>
      </c>
    </row>
    <row r="1014">
      <c r="A1014" s="3" t="s">
        <v>1752</v>
      </c>
      <c r="B1014" s="4" t="s">
        <v>1783</v>
      </c>
      <c r="C1014" s="5">
        <v>90336.0</v>
      </c>
      <c r="D1014" s="8" t="str">
        <f>+38.946981°</f>
        <v>#ERROR!</v>
      </c>
      <c r="E1014" s="7" t="s">
        <v>1784</v>
      </c>
    </row>
    <row r="1015">
      <c r="A1015" s="3" t="s">
        <v>1752</v>
      </c>
      <c r="B1015" s="4" t="s">
        <v>1785</v>
      </c>
      <c r="C1015" s="5">
        <v>5104.0</v>
      </c>
      <c r="D1015" s="8" t="str">
        <f>+36.857726°</f>
        <v>#ERROR!</v>
      </c>
      <c r="E1015" s="7" t="s">
        <v>1786</v>
      </c>
    </row>
    <row r="1016">
      <c r="A1016" s="3" t="s">
        <v>1752</v>
      </c>
      <c r="B1016" s="4" t="s">
        <v>287</v>
      </c>
      <c r="C1016" s="5">
        <v>10811.0</v>
      </c>
      <c r="D1016" s="8" t="str">
        <f>+38.668284°</f>
        <v>#ERROR!</v>
      </c>
      <c r="E1016" s="7" t="s">
        <v>1787</v>
      </c>
    </row>
    <row r="1017">
      <c r="A1017" s="3" t="s">
        <v>1752</v>
      </c>
      <c r="B1017" s="4" t="s">
        <v>1788</v>
      </c>
      <c r="C1017" s="5">
        <v>27720.0</v>
      </c>
      <c r="D1017" s="8" t="str">
        <f>+38.309555°</f>
        <v>#ERROR!</v>
      </c>
      <c r="E1017" s="7" t="s">
        <v>1789</v>
      </c>
    </row>
    <row r="1018">
      <c r="A1018" s="3" t="s">
        <v>1752</v>
      </c>
      <c r="B1018" s="4" t="s">
        <v>1790</v>
      </c>
      <c r="C1018" s="5">
        <v>15955.0</v>
      </c>
      <c r="D1018" s="8" t="str">
        <f>+37.321962°</f>
        <v>#ERROR!</v>
      </c>
      <c r="E1018" s="7" t="s">
        <v>1791</v>
      </c>
    </row>
    <row r="1019">
      <c r="A1019" s="3" t="s">
        <v>1752</v>
      </c>
      <c r="B1019" s="4" t="s">
        <v>1160</v>
      </c>
      <c r="C1019" s="5">
        <v>73955.0</v>
      </c>
      <c r="D1019" s="8" t="str">
        <f>+36.893388°</f>
        <v>#ERROR!</v>
      </c>
      <c r="E1019" s="7" t="s">
        <v>1792</v>
      </c>
    </row>
    <row r="1020">
      <c r="A1020" s="3" t="s">
        <v>1752</v>
      </c>
      <c r="B1020" s="4" t="s">
        <v>291</v>
      </c>
      <c r="C1020" s="5">
        <v>35613.0</v>
      </c>
      <c r="D1020" s="8" t="str">
        <f>+37.970133°</f>
        <v>#ERROR!</v>
      </c>
      <c r="E1020" s="7" t="s">
        <v>1793</v>
      </c>
    </row>
    <row r="1021">
      <c r="A1021" s="3" t="s">
        <v>1752</v>
      </c>
      <c r="B1021" s="4" t="s">
        <v>42</v>
      </c>
      <c r="C1021" s="5">
        <v>21730.0</v>
      </c>
      <c r="D1021" s="8" t="str">
        <f>+37.164466°</f>
        <v>#ERROR!</v>
      </c>
      <c r="E1021" s="7" t="s">
        <v>1794</v>
      </c>
    </row>
    <row r="1022">
      <c r="A1022" s="3" t="s">
        <v>1752</v>
      </c>
      <c r="B1022" s="4" t="s">
        <v>1164</v>
      </c>
      <c r="C1022" s="5">
        <v>10272.0</v>
      </c>
      <c r="D1022" s="8" t="str">
        <f>+36.729124°</f>
        <v>#ERROR!</v>
      </c>
      <c r="E1022" s="7" t="s">
        <v>1795</v>
      </c>
    </row>
    <row r="1023">
      <c r="A1023" s="3" t="s">
        <v>1752</v>
      </c>
      <c r="B1023" s="4" t="s">
        <v>305</v>
      </c>
      <c r="C1023" s="5">
        <v>9315.0</v>
      </c>
      <c r="D1023" s="8" t="str">
        <f>+37.358149°</f>
        <v>#ERROR!</v>
      </c>
      <c r="E1023" s="7" t="s">
        <v>1796</v>
      </c>
    </row>
    <row r="1024">
      <c r="A1024" s="3" t="s">
        <v>1752</v>
      </c>
      <c r="B1024" s="4" t="s">
        <v>1170</v>
      </c>
      <c r="C1024" s="5">
        <v>6856.0</v>
      </c>
      <c r="D1024" s="8" t="str">
        <f>+36.784227°</f>
        <v>#ERROR!</v>
      </c>
      <c r="E1024" s="7" t="s">
        <v>1797</v>
      </c>
    </row>
    <row r="1025">
      <c r="A1025" s="3" t="s">
        <v>1752</v>
      </c>
      <c r="B1025" s="4" t="s">
        <v>1317</v>
      </c>
      <c r="C1025" s="5">
        <v>96656.0</v>
      </c>
      <c r="D1025" s="8" t="str">
        <f>+37.731671°</f>
        <v>#ERROR!</v>
      </c>
      <c r="E1025" s="7" t="s">
        <v>1798</v>
      </c>
    </row>
    <row r="1026">
      <c r="A1026" s="3" t="s">
        <v>1752</v>
      </c>
      <c r="B1026" s="4" t="s">
        <v>1799</v>
      </c>
      <c r="C1026" s="5">
        <v>12161.0</v>
      </c>
      <c r="D1026" s="8" t="str">
        <f>+37.227856°</f>
        <v>#ERROR!</v>
      </c>
      <c r="E1026" s="7" t="s">
        <v>1800</v>
      </c>
    </row>
    <row r="1027">
      <c r="A1027" s="3" t="s">
        <v>1752</v>
      </c>
      <c r="B1027" s="4" t="s">
        <v>1801</v>
      </c>
      <c r="C1027" s="5">
        <v>7852.0</v>
      </c>
      <c r="D1027" s="8" t="str">
        <f>+38.116425°</f>
        <v>#ERROR!</v>
      </c>
      <c r="E1027" s="7" t="s">
        <v>1802</v>
      </c>
    </row>
    <row r="1028">
      <c r="A1028" s="3" t="s">
        <v>1752</v>
      </c>
      <c r="B1028" s="4" t="s">
        <v>1803</v>
      </c>
      <c r="C1028" s="5">
        <v>14672.0</v>
      </c>
      <c r="D1028" s="8" t="str">
        <f>+37.692460°</f>
        <v>#ERROR!</v>
      </c>
      <c r="E1028" s="7" t="s">
        <v>1804</v>
      </c>
    </row>
    <row r="1029">
      <c r="A1029" s="3" t="s">
        <v>1752</v>
      </c>
      <c r="B1029" s="4" t="s">
        <v>87</v>
      </c>
      <c r="C1029" s="5">
        <v>295803.0</v>
      </c>
      <c r="D1029" s="8" t="str">
        <f>+38.040157°</f>
        <v>#ERROR!</v>
      </c>
      <c r="E1029" s="7" t="s">
        <v>1805</v>
      </c>
    </row>
    <row r="1030">
      <c r="A1030" s="3" t="s">
        <v>1752</v>
      </c>
      <c r="B1030" s="4" t="s">
        <v>1806</v>
      </c>
      <c r="C1030" s="5">
        <v>14348.0</v>
      </c>
      <c r="D1030" s="8" t="str">
        <f>+38.368431°</f>
        <v>#ERROR!</v>
      </c>
      <c r="E1030" s="7" t="s">
        <v>1807</v>
      </c>
    </row>
    <row r="1031">
      <c r="A1031" s="3" t="s">
        <v>1752</v>
      </c>
      <c r="B1031" s="4" t="s">
        <v>884</v>
      </c>
      <c r="C1031" s="5">
        <v>39451.0</v>
      </c>
      <c r="D1031" s="8" t="str">
        <f>+37.558283°</f>
        <v>#ERROR!</v>
      </c>
      <c r="E1031" s="7" t="s">
        <v>1808</v>
      </c>
    </row>
    <row r="1032">
      <c r="A1032" s="3" t="s">
        <v>1752</v>
      </c>
      <c r="B1032" s="4" t="s">
        <v>90</v>
      </c>
      <c r="C1032" s="5">
        <v>49285.0</v>
      </c>
      <c r="D1032" s="8" t="str">
        <f>+38.234919°</f>
        <v>#ERROR!</v>
      </c>
      <c r="E1032" s="7" t="s">
        <v>1809</v>
      </c>
    </row>
    <row r="1033">
      <c r="A1033" s="3" t="s">
        <v>1752</v>
      </c>
      <c r="B1033" s="4" t="s">
        <v>317</v>
      </c>
      <c r="C1033" s="5">
        <v>6813.0</v>
      </c>
      <c r="D1033" s="8" t="str">
        <f>+36.552620°</f>
        <v>#ERROR!</v>
      </c>
      <c r="E1033" s="7" t="s">
        <v>1810</v>
      </c>
    </row>
    <row r="1034">
      <c r="A1034" s="3" t="s">
        <v>1752</v>
      </c>
      <c r="B1034" s="4" t="s">
        <v>1188</v>
      </c>
      <c r="C1034" s="5">
        <v>8589.0</v>
      </c>
      <c r="D1034" s="8" t="str">
        <f>+38.760184°</f>
        <v>#ERROR!</v>
      </c>
      <c r="E1034" s="7" t="s">
        <v>1811</v>
      </c>
    </row>
    <row r="1035">
      <c r="A1035" s="3" t="s">
        <v>1752</v>
      </c>
      <c r="B1035" s="4" t="s">
        <v>1812</v>
      </c>
      <c r="C1035" s="5">
        <v>16912.0</v>
      </c>
      <c r="D1035" s="8" t="str">
        <f>+37.630162°</f>
        <v>#ERROR!</v>
      </c>
      <c r="E1035" s="7" t="s">
        <v>1813</v>
      </c>
    </row>
    <row r="1036">
      <c r="A1036" s="3" t="s">
        <v>1752</v>
      </c>
      <c r="B1036" s="4" t="s">
        <v>321</v>
      </c>
      <c r="C1036" s="5">
        <v>24662.0</v>
      </c>
      <c r="D1036" s="8" t="str">
        <f>+38.649210°</f>
        <v>#ERROR!</v>
      </c>
      <c r="E1036" s="7" t="s">
        <v>1814</v>
      </c>
    </row>
    <row r="1037">
      <c r="A1037" s="3" t="s">
        <v>1752</v>
      </c>
      <c r="B1037" s="4" t="s">
        <v>1815</v>
      </c>
      <c r="C1037" s="5">
        <v>37121.0</v>
      </c>
      <c r="D1037" s="8" t="str">
        <f>+36.723344°</f>
        <v>#ERROR!</v>
      </c>
      <c r="E1037" s="7" t="s">
        <v>1816</v>
      </c>
    </row>
    <row r="1038">
      <c r="A1038" s="3" t="s">
        <v>1752</v>
      </c>
      <c r="B1038" s="4" t="s">
        <v>1817</v>
      </c>
      <c r="C1038" s="5">
        <v>25746.0</v>
      </c>
      <c r="D1038" s="8" t="str">
        <f>+37.458577°</f>
        <v>#ERROR!</v>
      </c>
      <c r="E1038" s="7" t="s">
        <v>1818</v>
      </c>
    </row>
    <row r="1039">
      <c r="A1039" s="3" t="s">
        <v>1752</v>
      </c>
      <c r="B1039" s="4" t="s">
        <v>1819</v>
      </c>
      <c r="C1039" s="5">
        <v>11258.0</v>
      </c>
      <c r="D1039" s="8" t="str">
        <f>+37.269637°</f>
        <v>#ERROR!</v>
      </c>
      <c r="E1039" s="7" t="s">
        <v>1820</v>
      </c>
    </row>
    <row r="1040">
      <c r="A1040" s="3" t="s">
        <v>1752</v>
      </c>
      <c r="B1040" s="4" t="s">
        <v>1821</v>
      </c>
      <c r="C1040" s="5">
        <v>36910.0</v>
      </c>
      <c r="D1040" s="8" t="str">
        <f>+38.563596°</f>
        <v>#ERROR!</v>
      </c>
      <c r="E1040" s="7" t="s">
        <v>1822</v>
      </c>
    </row>
    <row r="1041">
      <c r="A1041" s="3" t="s">
        <v>1752</v>
      </c>
      <c r="B1041" s="4" t="s">
        <v>907</v>
      </c>
      <c r="C1041" s="5">
        <v>8565.0</v>
      </c>
      <c r="D1041" s="8" t="str">
        <f>+37.843389°</f>
        <v>#ERROR!</v>
      </c>
      <c r="E1041" s="7" t="s">
        <v>1823</v>
      </c>
    </row>
    <row r="1042">
      <c r="A1042" s="3" t="s">
        <v>1752</v>
      </c>
      <c r="B1042" s="4" t="s">
        <v>1195</v>
      </c>
      <c r="C1042" s="5">
        <v>105543.0</v>
      </c>
      <c r="D1042" s="8" t="str">
        <f>+37.695836°</f>
        <v>#ERROR!</v>
      </c>
      <c r="E1042" s="7" t="s">
        <v>1824</v>
      </c>
    </row>
    <row r="1043">
      <c r="A1043" s="3" t="s">
        <v>1752</v>
      </c>
      <c r="B1043" s="4" t="s">
        <v>1825</v>
      </c>
      <c r="C1043" s="5">
        <v>29278.0</v>
      </c>
      <c r="D1043" s="8" t="str">
        <f>+36.859223°</f>
        <v>#ERROR!</v>
      </c>
      <c r="E1043" s="7" t="s">
        <v>1826</v>
      </c>
    </row>
    <row r="1044">
      <c r="A1044" s="3" t="s">
        <v>1752</v>
      </c>
      <c r="B1044" s="4" t="s">
        <v>1341</v>
      </c>
      <c r="C1044" s="5">
        <v>18846.0</v>
      </c>
      <c r="D1044" s="8" t="str">
        <f>+38.443489°</f>
        <v>#ERROR!</v>
      </c>
      <c r="E1044" s="7" t="s">
        <v>1827</v>
      </c>
    </row>
    <row r="1045">
      <c r="A1045" s="3" t="s">
        <v>1752</v>
      </c>
      <c r="B1045" s="4" t="s">
        <v>913</v>
      </c>
      <c r="C1045" s="5">
        <v>18199.0</v>
      </c>
      <c r="D1045" s="8" t="str">
        <f>+37.313856°</f>
        <v>#ERROR!</v>
      </c>
      <c r="E1045" s="7" t="s">
        <v>1828</v>
      </c>
    </row>
    <row r="1046">
      <c r="A1046" s="3" t="s">
        <v>1752</v>
      </c>
      <c r="B1046" s="4" t="s">
        <v>1197</v>
      </c>
      <c r="C1046" s="5">
        <v>46250.0</v>
      </c>
      <c r="D1046" s="8" t="str">
        <f>+37.792542°</f>
        <v>#ERROR!</v>
      </c>
      <c r="E1046" s="7" t="s">
        <v>1829</v>
      </c>
    </row>
    <row r="1047">
      <c r="A1047" s="3" t="s">
        <v>1752</v>
      </c>
      <c r="B1047" s="4" t="s">
        <v>102</v>
      </c>
      <c r="C1047" s="5">
        <v>15416.0</v>
      </c>
      <c r="D1047" s="8" t="str">
        <f>+38.451561°</f>
        <v>#ERROR!</v>
      </c>
      <c r="E1047" s="7" t="s">
        <v>1830</v>
      </c>
    </row>
    <row r="1048">
      <c r="A1048" s="3" t="s">
        <v>1752</v>
      </c>
      <c r="B1048" s="4" t="s">
        <v>1831</v>
      </c>
      <c r="C1048" s="5">
        <v>4902.0</v>
      </c>
      <c r="D1048" s="8" t="str">
        <f>+36.675916°</f>
        <v>#ERROR!</v>
      </c>
      <c r="E1048" s="7" t="s">
        <v>1832</v>
      </c>
    </row>
    <row r="1049">
      <c r="A1049" s="3" t="s">
        <v>1752</v>
      </c>
      <c r="B1049" s="4" t="s">
        <v>1833</v>
      </c>
      <c r="C1049" s="5">
        <v>46920.0</v>
      </c>
      <c r="D1049" s="8" t="str">
        <f>+37.311070°</f>
        <v>#ERROR!</v>
      </c>
      <c r="E1049" s="7" t="s">
        <v>1834</v>
      </c>
    </row>
    <row r="1050">
      <c r="A1050" s="3" t="s">
        <v>1752</v>
      </c>
      <c r="B1050" s="4" t="s">
        <v>108</v>
      </c>
      <c r="C1050" s="5">
        <v>13494.0</v>
      </c>
      <c r="D1050" s="8" t="str">
        <f>+37.403320°</f>
        <v>#ERROR!</v>
      </c>
      <c r="E1050" s="7" t="s">
        <v>1835</v>
      </c>
    </row>
    <row r="1051">
      <c r="A1051" s="3" t="s">
        <v>1752</v>
      </c>
      <c r="B1051" s="4" t="s">
        <v>111</v>
      </c>
      <c r="C1051" s="5">
        <v>741096.0</v>
      </c>
      <c r="D1051" s="8" t="str">
        <f>+38.189533°</f>
        <v>#ERROR!</v>
      </c>
      <c r="E1051" s="7" t="s">
        <v>1836</v>
      </c>
    </row>
    <row r="1052">
      <c r="A1052" s="3" t="s">
        <v>1752</v>
      </c>
      <c r="B1052" s="4" t="s">
        <v>1837</v>
      </c>
      <c r="C1052" s="5">
        <v>48586.0</v>
      </c>
      <c r="D1052" s="8" t="str">
        <f>+37.873291°</f>
        <v>#ERROR!</v>
      </c>
      <c r="E1052" s="7" t="s">
        <v>1838</v>
      </c>
    </row>
    <row r="1053">
      <c r="A1053" s="3" t="s">
        <v>1752</v>
      </c>
      <c r="B1053" s="4" t="s">
        <v>336</v>
      </c>
      <c r="C1053" s="5">
        <v>23356.0</v>
      </c>
      <c r="D1053" s="8" t="str">
        <f>+37.849260°</f>
        <v>#ERROR!</v>
      </c>
      <c r="E1053" s="7" t="s">
        <v>1839</v>
      </c>
    </row>
    <row r="1054">
      <c r="A1054" s="3" t="s">
        <v>1752</v>
      </c>
      <c r="B1054" s="4" t="s">
        <v>1840</v>
      </c>
      <c r="C1054" s="5">
        <v>159720.0</v>
      </c>
      <c r="D1054" s="8" t="str">
        <f>+38.930477°</f>
        <v>#ERROR!</v>
      </c>
      <c r="E1054" s="7" t="s">
        <v>1841</v>
      </c>
    </row>
    <row r="1055">
      <c r="A1055" s="3" t="s">
        <v>1752</v>
      </c>
      <c r="B1055" s="4" t="s">
        <v>1842</v>
      </c>
      <c r="C1055" s="5">
        <v>16346.0</v>
      </c>
      <c r="D1055" s="8" t="str">
        <f>+37.354703°</f>
        <v>#ERROR!</v>
      </c>
      <c r="E1055" s="7" t="s">
        <v>1843</v>
      </c>
    </row>
    <row r="1056">
      <c r="A1056" s="3" t="s">
        <v>1752</v>
      </c>
      <c r="B1056" s="4" t="s">
        <v>1216</v>
      </c>
      <c r="C1056" s="5">
        <v>31883.0</v>
      </c>
      <c r="D1056" s="8" t="str">
        <f>+36.887476°</f>
        <v>#ERROR!</v>
      </c>
      <c r="E1056" s="7" t="s">
        <v>1844</v>
      </c>
    </row>
    <row r="1057">
      <c r="A1057" s="3" t="s">
        <v>1752</v>
      </c>
      <c r="B1057" s="4" t="s">
        <v>1845</v>
      </c>
      <c r="C1057" s="5">
        <v>14193.0</v>
      </c>
      <c r="D1057" s="8" t="str">
        <f>+37.545518°</f>
        <v>#ERROR!</v>
      </c>
      <c r="E1057" s="7" t="s">
        <v>1846</v>
      </c>
    </row>
    <row r="1058">
      <c r="A1058" s="3" t="s">
        <v>1752</v>
      </c>
      <c r="B1058" s="4" t="s">
        <v>1847</v>
      </c>
      <c r="C1058" s="5">
        <v>58849.0</v>
      </c>
      <c r="D1058" s="8" t="str">
        <f>+37.113268°</f>
        <v>#ERROR!</v>
      </c>
      <c r="E1058" s="7" t="s">
        <v>1848</v>
      </c>
    </row>
    <row r="1059">
      <c r="A1059" s="3" t="s">
        <v>1752</v>
      </c>
      <c r="B1059" s="4" t="s">
        <v>120</v>
      </c>
      <c r="C1059" s="5">
        <v>15860.0</v>
      </c>
      <c r="D1059" s="8" t="str">
        <f>+38.074459°</f>
        <v>#ERROR!</v>
      </c>
      <c r="E1059" s="7" t="s">
        <v>1849</v>
      </c>
    </row>
    <row r="1060">
      <c r="A1060" s="3" t="s">
        <v>1752</v>
      </c>
      <c r="B1060" s="4" t="s">
        <v>123</v>
      </c>
      <c r="C1060" s="5">
        <v>7887.0</v>
      </c>
      <c r="D1060" s="8" t="str">
        <f>+37.605383°</f>
        <v>#ERROR!</v>
      </c>
      <c r="E1060" s="7" t="s">
        <v>1850</v>
      </c>
    </row>
    <row r="1061">
      <c r="A1061" s="3" t="s">
        <v>1752</v>
      </c>
      <c r="B1061" s="4" t="s">
        <v>1851</v>
      </c>
      <c r="C1061" s="5">
        <v>11310.0</v>
      </c>
      <c r="D1061" s="8" t="str">
        <f>+37.087846°</f>
        <v>#ERROR!</v>
      </c>
      <c r="E1061" s="7" t="s">
        <v>1852</v>
      </c>
    </row>
    <row r="1062">
      <c r="A1062" s="3" t="s">
        <v>1752</v>
      </c>
      <c r="B1062" s="4" t="s">
        <v>1853</v>
      </c>
      <c r="C1062" s="5">
        <v>24519.0</v>
      </c>
      <c r="D1062" s="8" t="str">
        <f>+37.118503°</f>
        <v>#ERROR!</v>
      </c>
      <c r="E1062" s="7" t="s">
        <v>1854</v>
      </c>
    </row>
    <row r="1063">
      <c r="A1063" s="3" t="s">
        <v>1752</v>
      </c>
      <c r="B1063" s="4" t="s">
        <v>1118</v>
      </c>
      <c r="C1063" s="5">
        <v>13870.0</v>
      </c>
      <c r="D1063" s="8" t="str">
        <f>+38.532051°</f>
        <v>#ERROR!</v>
      </c>
      <c r="E1063" s="7" t="s">
        <v>1855</v>
      </c>
    </row>
    <row r="1064">
      <c r="A1064" s="3" t="s">
        <v>1752</v>
      </c>
      <c r="B1064" s="4" t="s">
        <v>342</v>
      </c>
      <c r="C1064" s="5">
        <v>24742.0</v>
      </c>
      <c r="D1064" s="8" t="str">
        <f>+37.457257°</f>
        <v>#ERROR!</v>
      </c>
      <c r="E1064" s="7" t="s">
        <v>1856</v>
      </c>
    </row>
    <row r="1065">
      <c r="A1065" s="3" t="s">
        <v>1752</v>
      </c>
      <c r="B1065" s="4" t="s">
        <v>1223</v>
      </c>
      <c r="C1065" s="5">
        <v>9519.0</v>
      </c>
      <c r="D1065" s="8" t="str">
        <f>+37.209517°</f>
        <v>#ERROR!</v>
      </c>
      <c r="E1065" s="7" t="s">
        <v>1857</v>
      </c>
    </row>
    <row r="1066">
      <c r="A1066" s="3" t="s">
        <v>1752</v>
      </c>
      <c r="B1066" s="4" t="s">
        <v>346</v>
      </c>
      <c r="C1066" s="5">
        <v>26835.0</v>
      </c>
      <c r="D1066" s="8" t="str">
        <f>+36.859829°</f>
        <v>#ERROR!</v>
      </c>
      <c r="E1066" s="7" t="s">
        <v>1858</v>
      </c>
    </row>
    <row r="1067">
      <c r="A1067" s="3" t="s">
        <v>1752</v>
      </c>
      <c r="B1067" s="4" t="s">
        <v>1518</v>
      </c>
      <c r="C1067" s="5">
        <v>8314.0</v>
      </c>
      <c r="D1067" s="8" t="str">
        <f>+37.023976°</f>
        <v>#ERROR!</v>
      </c>
      <c r="E1067" s="7" t="s">
        <v>1859</v>
      </c>
    </row>
    <row r="1068">
      <c r="A1068" s="3" t="s">
        <v>1752</v>
      </c>
      <c r="B1068" s="4" t="s">
        <v>1860</v>
      </c>
      <c r="C1068" s="5">
        <v>65565.0</v>
      </c>
      <c r="D1068" s="8" t="str">
        <f>+37.053688°</f>
        <v>#ERROR!</v>
      </c>
      <c r="E1068" s="7" t="s">
        <v>1861</v>
      </c>
    </row>
    <row r="1069">
      <c r="A1069" s="3" t="s">
        <v>1752</v>
      </c>
      <c r="B1069" s="4" t="s">
        <v>1862</v>
      </c>
      <c r="C1069" s="5">
        <v>18306.0</v>
      </c>
      <c r="D1069" s="8" t="str">
        <f>+36.731136°</f>
        <v>#ERROR!</v>
      </c>
      <c r="E1069" s="7" t="s">
        <v>1863</v>
      </c>
    </row>
    <row r="1070">
      <c r="A1070" s="3" t="s">
        <v>1752</v>
      </c>
      <c r="B1070" s="4" t="s">
        <v>1230</v>
      </c>
      <c r="C1070" s="5">
        <v>9531.0</v>
      </c>
      <c r="D1070" s="8" t="str">
        <f>+37.530575°</f>
        <v>#ERROR!</v>
      </c>
      <c r="E1070" s="7" t="s">
        <v>1864</v>
      </c>
    </row>
    <row r="1071">
      <c r="A1071" s="3" t="s">
        <v>1752</v>
      </c>
      <c r="B1071" s="4" t="s">
        <v>135</v>
      </c>
      <c r="C1071" s="5">
        <v>82916.0</v>
      </c>
      <c r="D1071" s="8" t="str">
        <f>+37.723528°</f>
        <v>#ERROR!</v>
      </c>
      <c r="E1071" s="7" t="s">
        <v>1865</v>
      </c>
    </row>
    <row r="1072">
      <c r="A1072" s="3" t="s">
        <v>1752</v>
      </c>
      <c r="B1072" s="4" t="s">
        <v>1866</v>
      </c>
      <c r="C1072" s="5">
        <v>13333.0</v>
      </c>
      <c r="D1072" s="8" t="str">
        <f>+37.698954°</f>
        <v>#ERROR!</v>
      </c>
      <c r="E1072" s="7" t="s">
        <v>1867</v>
      </c>
    </row>
    <row r="1073">
      <c r="A1073" s="3" t="s">
        <v>1752</v>
      </c>
      <c r="B1073" s="4" t="s">
        <v>141</v>
      </c>
      <c r="C1073" s="5">
        <v>19820.0</v>
      </c>
      <c r="D1073" s="8" t="str">
        <f>+37.552247°</f>
        <v>#ERROR!</v>
      </c>
      <c r="E1073" s="7" t="s">
        <v>1868</v>
      </c>
    </row>
    <row r="1074">
      <c r="A1074" s="3" t="s">
        <v>1752</v>
      </c>
      <c r="B1074" s="4" t="s">
        <v>143</v>
      </c>
      <c r="C1074" s="5">
        <v>31448.0</v>
      </c>
      <c r="D1074" s="8" t="str">
        <f>+36.882017°</f>
        <v>#ERROR!</v>
      </c>
      <c r="E1074" s="7" t="s">
        <v>1869</v>
      </c>
    </row>
    <row r="1075">
      <c r="A1075" s="3" t="s">
        <v>1752</v>
      </c>
      <c r="B1075" s="4" t="s">
        <v>739</v>
      </c>
      <c r="C1075" s="5">
        <v>12929.0</v>
      </c>
      <c r="D1075" s="8" t="str">
        <f>+37.796774°</f>
        <v>#ERROR!</v>
      </c>
      <c r="E1075" s="7" t="s">
        <v>1870</v>
      </c>
    </row>
    <row r="1076">
      <c r="A1076" s="3" t="s">
        <v>1752</v>
      </c>
      <c r="B1076" s="4" t="s">
        <v>1238</v>
      </c>
      <c r="C1076" s="5">
        <v>17490.0</v>
      </c>
      <c r="D1076" s="8" t="str">
        <f>+38.594068°</f>
        <v>#ERROR!</v>
      </c>
      <c r="E1076" s="7" t="s">
        <v>1871</v>
      </c>
    </row>
    <row r="1077">
      <c r="A1077" s="3" t="s">
        <v>1752</v>
      </c>
      <c r="B1077" s="4" t="s">
        <v>1671</v>
      </c>
      <c r="C1077" s="5">
        <v>28602.0</v>
      </c>
      <c r="D1077" s="8" t="str">
        <f>+37.967476°</f>
        <v>#ERROR!</v>
      </c>
      <c r="E1077" s="7" t="s">
        <v>1872</v>
      </c>
    </row>
    <row r="1078">
      <c r="A1078" s="3" t="s">
        <v>1752</v>
      </c>
      <c r="B1078" s="4" t="s">
        <v>1873</v>
      </c>
      <c r="C1078" s="5">
        <v>6306.0</v>
      </c>
      <c r="D1078" s="8" t="str">
        <f>+37.950715°</f>
        <v>#ERROR!</v>
      </c>
      <c r="E1078" s="7" t="s">
        <v>1874</v>
      </c>
    </row>
    <row r="1079">
      <c r="A1079" s="3" t="s">
        <v>1752</v>
      </c>
      <c r="B1079" s="4" t="s">
        <v>1244</v>
      </c>
      <c r="C1079" s="5">
        <v>21331.0</v>
      </c>
      <c r="D1079" s="8" t="str">
        <f>+37.812085°</f>
        <v>#ERROR!</v>
      </c>
      <c r="E1079" s="7" t="s">
        <v>1875</v>
      </c>
    </row>
    <row r="1080">
      <c r="A1080" s="3" t="s">
        <v>1752</v>
      </c>
      <c r="B1080" s="4" t="s">
        <v>1876</v>
      </c>
      <c r="C1080" s="5">
        <v>10099.0</v>
      </c>
      <c r="D1080" s="8" t="str">
        <f>+36.990394°</f>
        <v>#ERROR!</v>
      </c>
      <c r="E1080" s="7" t="s">
        <v>1877</v>
      </c>
    </row>
    <row r="1081">
      <c r="A1081" s="3" t="s">
        <v>1752</v>
      </c>
      <c r="B1081" s="4" t="s">
        <v>147</v>
      </c>
      <c r="C1081" s="5">
        <v>10963.0</v>
      </c>
      <c r="D1081" s="8" t="str">
        <f>+36.714077°</f>
        <v>#ERROR!</v>
      </c>
      <c r="E1081" s="7" t="s">
        <v>1878</v>
      </c>
    </row>
    <row r="1082">
      <c r="A1082" s="3" t="s">
        <v>1752</v>
      </c>
      <c r="B1082" s="4" t="s">
        <v>149</v>
      </c>
      <c r="C1082" s="5">
        <v>26499.0</v>
      </c>
      <c r="D1082" s="8" t="str">
        <f>+38.038138°</f>
        <v>#ERROR!</v>
      </c>
      <c r="E1082" s="7" t="s">
        <v>1879</v>
      </c>
    </row>
    <row r="1083">
      <c r="A1083" s="3" t="s">
        <v>1752</v>
      </c>
      <c r="B1083" s="4" t="s">
        <v>151</v>
      </c>
      <c r="C1083" s="5">
        <v>13923.0</v>
      </c>
      <c r="D1083" s="8" t="str">
        <f>+37.922940°</f>
        <v>#ERROR!</v>
      </c>
      <c r="E1083" s="7" t="s">
        <v>1880</v>
      </c>
    </row>
    <row r="1084">
      <c r="A1084" s="3" t="s">
        <v>1752</v>
      </c>
      <c r="B1084" s="4" t="s">
        <v>1881</v>
      </c>
      <c r="C1084" s="5">
        <v>31499.0</v>
      </c>
      <c r="D1084" s="8" t="str">
        <f>+37.213816°</f>
        <v>#ERROR!</v>
      </c>
      <c r="E1084" s="7" t="s">
        <v>1882</v>
      </c>
    </row>
    <row r="1085">
      <c r="A1085" s="3" t="s">
        <v>1752</v>
      </c>
      <c r="B1085" s="4" t="s">
        <v>1883</v>
      </c>
      <c r="C1085" s="5">
        <v>43437.0</v>
      </c>
      <c r="D1085" s="8" t="str">
        <f>+37.803188°</f>
        <v>#ERROR!</v>
      </c>
      <c r="E1085" s="7" t="s">
        <v>1884</v>
      </c>
    </row>
    <row r="1086">
      <c r="A1086" s="3" t="s">
        <v>1752</v>
      </c>
      <c r="B1086" s="4" t="s">
        <v>1885</v>
      </c>
      <c r="C1086" s="5">
        <v>7135.0</v>
      </c>
      <c r="D1086" s="8" t="str">
        <f>+38.337132°</f>
        <v>#ERROR!</v>
      </c>
      <c r="E1086" s="7" t="s">
        <v>1886</v>
      </c>
    </row>
    <row r="1087">
      <c r="A1087" s="3" t="s">
        <v>1752</v>
      </c>
      <c r="B1087" s="4" t="s">
        <v>1378</v>
      </c>
      <c r="C1087" s="5">
        <v>23842.0</v>
      </c>
      <c r="D1087" s="8" t="str">
        <f>+37.477859°</f>
        <v>#ERROR!</v>
      </c>
      <c r="E1087" s="7" t="s">
        <v>1887</v>
      </c>
    </row>
    <row r="1088">
      <c r="A1088" s="3" t="s">
        <v>1752</v>
      </c>
      <c r="B1088" s="4" t="s">
        <v>1888</v>
      </c>
      <c r="C1088" s="5">
        <v>60316.0</v>
      </c>
      <c r="D1088" s="8" t="str">
        <f>+38.400046°</f>
        <v>#ERROR!</v>
      </c>
      <c r="E1088" s="7" t="s">
        <v>1889</v>
      </c>
    </row>
    <row r="1089">
      <c r="A1089" s="3" t="s">
        <v>1752</v>
      </c>
      <c r="B1089" s="4" t="s">
        <v>1381</v>
      </c>
      <c r="C1089" s="5">
        <v>10841.0</v>
      </c>
      <c r="D1089" s="8" t="str">
        <f>+38.499603°</f>
        <v>#ERROR!</v>
      </c>
      <c r="E1089" s="7" t="s">
        <v>1890</v>
      </c>
    </row>
    <row r="1090">
      <c r="A1090" s="3" t="s">
        <v>1752</v>
      </c>
      <c r="B1090" s="4" t="s">
        <v>1891</v>
      </c>
      <c r="C1090" s="5">
        <v>4755.0</v>
      </c>
      <c r="D1090" s="8" t="str">
        <f>+37.423452°</f>
        <v>#ERROR!</v>
      </c>
      <c r="E1090" s="7" t="s">
        <v>1892</v>
      </c>
    </row>
    <row r="1091">
      <c r="A1091" s="3" t="s">
        <v>1752</v>
      </c>
      <c r="B1091" s="4" t="s">
        <v>1893</v>
      </c>
      <c r="C1091" s="5">
        <v>14877.0</v>
      </c>
      <c r="D1091" s="8" t="str">
        <f>+38.690765°</f>
        <v>#ERROR!</v>
      </c>
      <c r="E1091" s="7" t="s">
        <v>1894</v>
      </c>
    </row>
    <row r="1092">
      <c r="A1092" s="3" t="s">
        <v>1752</v>
      </c>
      <c r="B1092" s="4" t="s">
        <v>153</v>
      </c>
      <c r="C1092" s="5">
        <v>28712.0</v>
      </c>
      <c r="D1092" s="8" t="str">
        <f>+37.241282°</f>
        <v>#ERROR!</v>
      </c>
      <c r="E1092" s="7" t="s">
        <v>1895</v>
      </c>
    </row>
    <row r="1093">
      <c r="A1093" s="3" t="s">
        <v>1752</v>
      </c>
      <c r="B1093" s="4" t="s">
        <v>157</v>
      </c>
      <c r="C1093" s="5">
        <v>65024.0</v>
      </c>
      <c r="D1093" s="8" t="str">
        <f>+37.482067°</f>
        <v>#ERROR!</v>
      </c>
      <c r="E1093" s="7" t="s">
        <v>1896</v>
      </c>
    </row>
    <row r="1094">
      <c r="A1094" s="3" t="s">
        <v>1752</v>
      </c>
      <c r="B1094" s="4" t="s">
        <v>1897</v>
      </c>
      <c r="C1094" s="5">
        <v>12613.0</v>
      </c>
      <c r="D1094" s="8" t="str">
        <f>+37.810379°</f>
        <v>#ERROR!</v>
      </c>
      <c r="E1094" s="7" t="s">
        <v>1898</v>
      </c>
    </row>
    <row r="1095">
      <c r="A1095" s="3" t="s">
        <v>1752</v>
      </c>
      <c r="B1095" s="4" t="s">
        <v>376</v>
      </c>
      <c r="C1095" s="5">
        <v>63063.0</v>
      </c>
      <c r="D1095" s="8" t="str">
        <f>+37.108312°</f>
        <v>#ERROR!</v>
      </c>
      <c r="E1095" s="7" t="s">
        <v>1899</v>
      </c>
    </row>
    <row r="1096">
      <c r="A1096" s="3" t="s">
        <v>1752</v>
      </c>
      <c r="B1096" s="4" t="s">
        <v>1900</v>
      </c>
      <c r="C1096" s="5">
        <v>2282.0</v>
      </c>
      <c r="D1096" s="8" t="str">
        <f>+38.513826°</f>
        <v>#ERROR!</v>
      </c>
      <c r="E1096" s="7" t="s">
        <v>1901</v>
      </c>
    </row>
    <row r="1097">
      <c r="A1097" s="3" t="s">
        <v>1752</v>
      </c>
      <c r="B1097" s="4" t="s">
        <v>1902</v>
      </c>
      <c r="C1097" s="5">
        <v>17056.0</v>
      </c>
      <c r="D1097" s="8" t="str">
        <f>+37.361220°</f>
        <v>#ERROR!</v>
      </c>
      <c r="E1097" s="7" t="s">
        <v>1903</v>
      </c>
    </row>
    <row r="1098">
      <c r="A1098" s="3" t="s">
        <v>1752</v>
      </c>
      <c r="B1098" s="4" t="s">
        <v>1904</v>
      </c>
      <c r="C1098" s="5">
        <v>23333.0</v>
      </c>
      <c r="D1098" s="8" t="str">
        <f>+38.205894°</f>
        <v>#ERROR!</v>
      </c>
      <c r="E1098" s="7" t="s">
        <v>1905</v>
      </c>
    </row>
    <row r="1099">
      <c r="A1099" s="3" t="s">
        <v>1752</v>
      </c>
      <c r="B1099" s="4" t="s">
        <v>161</v>
      </c>
      <c r="C1099" s="5">
        <v>17565.0</v>
      </c>
      <c r="D1099" s="8" t="str">
        <f>+36.989127°</f>
        <v>#ERROR!</v>
      </c>
      <c r="E1099" s="7" t="s">
        <v>1906</v>
      </c>
    </row>
    <row r="1100">
      <c r="A1100" s="3" t="s">
        <v>1752</v>
      </c>
      <c r="B1100" s="4" t="s">
        <v>383</v>
      </c>
      <c r="C1100" s="5">
        <v>47173.0</v>
      </c>
      <c r="D1100" s="8" t="str">
        <f>+38.289882°</f>
        <v>#ERROR!</v>
      </c>
      <c r="E1100" s="7" t="s">
        <v>1907</v>
      </c>
    </row>
    <row r="1101">
      <c r="A1101" s="3" t="s">
        <v>1752</v>
      </c>
      <c r="B1101" s="4" t="s">
        <v>165</v>
      </c>
      <c r="C1101" s="5">
        <v>42074.0</v>
      </c>
      <c r="D1101" s="8" t="str">
        <f>+38.239426°</f>
        <v>#ERROR!</v>
      </c>
      <c r="E1101" s="7" t="s">
        <v>1908</v>
      </c>
    </row>
    <row r="1102">
      <c r="A1102" s="3" t="s">
        <v>1752</v>
      </c>
      <c r="B1102" s="4" t="s">
        <v>1909</v>
      </c>
      <c r="C1102" s="5">
        <v>17327.0</v>
      </c>
      <c r="D1102" s="8" t="str">
        <f>+36.740863°</f>
        <v>#ERROR!</v>
      </c>
      <c r="E1102" s="7" t="s">
        <v>1910</v>
      </c>
    </row>
    <row r="1103">
      <c r="A1103" s="3" t="s">
        <v>1752</v>
      </c>
      <c r="B1103" s="4" t="s">
        <v>1402</v>
      </c>
      <c r="C1103" s="5">
        <v>17061.0</v>
      </c>
      <c r="D1103" s="8" t="str">
        <f>+38.026976°</f>
        <v>#ERROR!</v>
      </c>
      <c r="E1103" s="7" t="s">
        <v>1911</v>
      </c>
    </row>
    <row r="1104">
      <c r="A1104" s="3" t="s">
        <v>1752</v>
      </c>
      <c r="B1104" s="4" t="s">
        <v>775</v>
      </c>
      <c r="C1104" s="5">
        <v>24512.0</v>
      </c>
      <c r="D1104" s="8" t="str">
        <f>+37.365106°</f>
        <v>#ERROR!</v>
      </c>
      <c r="E1104" s="7" t="s">
        <v>1912</v>
      </c>
    </row>
    <row r="1105">
      <c r="A1105" s="3" t="s">
        <v>1752</v>
      </c>
      <c r="B1105" s="4" t="s">
        <v>1913</v>
      </c>
      <c r="C1105" s="5">
        <v>12460.0</v>
      </c>
      <c r="D1105" s="8" t="str">
        <f>+36.840338°</f>
        <v>#ERROR!</v>
      </c>
      <c r="E1105" s="7" t="s">
        <v>1914</v>
      </c>
    </row>
    <row r="1106">
      <c r="A1106" s="3" t="s">
        <v>1752</v>
      </c>
      <c r="B1106" s="4" t="s">
        <v>1915</v>
      </c>
      <c r="C1106" s="5">
        <v>14339.0</v>
      </c>
      <c r="D1106" s="8" t="str">
        <f>+36.807681°</f>
        <v>#ERROR!</v>
      </c>
      <c r="E1106" s="7" t="s">
        <v>1916</v>
      </c>
    </row>
    <row r="1107">
      <c r="A1107" s="3" t="s">
        <v>1752</v>
      </c>
      <c r="B1107" s="4" t="s">
        <v>1917</v>
      </c>
      <c r="C1107" s="5">
        <v>8809.0</v>
      </c>
      <c r="D1107" s="8" t="str">
        <f>+38.618193°</f>
        <v>#ERROR!</v>
      </c>
      <c r="E1107" s="7" t="s">
        <v>1918</v>
      </c>
    </row>
    <row r="1108">
      <c r="A1108" s="3" t="s">
        <v>1752</v>
      </c>
      <c r="B1108" s="4" t="s">
        <v>395</v>
      </c>
      <c r="C1108" s="5">
        <v>15007.0</v>
      </c>
      <c r="D1108" s="8" t="str">
        <f>+37.658029°</f>
        <v>#ERROR!</v>
      </c>
      <c r="E1108" s="7" t="s">
        <v>1919</v>
      </c>
    </row>
    <row r="1109">
      <c r="A1109" s="3" t="s">
        <v>1752</v>
      </c>
      <c r="B1109" s="4" t="s">
        <v>1035</v>
      </c>
      <c r="C1109" s="5">
        <v>113792.0</v>
      </c>
      <c r="D1109" s="8" t="str">
        <f>+36.995634°</f>
        <v>#ERROR!</v>
      </c>
      <c r="E1109" s="7" t="s">
        <v>1920</v>
      </c>
    </row>
    <row r="1110">
      <c r="A1110" s="3" t="s">
        <v>1752</v>
      </c>
      <c r="B1110" s="4" t="s">
        <v>177</v>
      </c>
      <c r="C1110" s="5">
        <v>11717.0</v>
      </c>
      <c r="D1110" s="8" t="str">
        <f>+37.754209°</f>
        <v>#ERROR!</v>
      </c>
      <c r="E1110" s="7" t="s">
        <v>1921</v>
      </c>
    </row>
    <row r="1111">
      <c r="A1111" s="3" t="s">
        <v>1752</v>
      </c>
      <c r="B1111" s="4" t="s">
        <v>1038</v>
      </c>
      <c r="C1111" s="5">
        <v>20813.0</v>
      </c>
      <c r="D1111" s="8" t="str">
        <f>+36.802011°</f>
        <v>#ERROR!</v>
      </c>
      <c r="E1111" s="7" t="s">
        <v>1922</v>
      </c>
    </row>
    <row r="1112">
      <c r="A1112" s="3" t="s">
        <v>1752</v>
      </c>
      <c r="B1112" s="4" t="s">
        <v>1040</v>
      </c>
      <c r="C1112" s="5">
        <v>13621.0</v>
      </c>
      <c r="D1112" s="8" t="str">
        <f>+37.520021°</f>
        <v>#ERROR!</v>
      </c>
      <c r="E1112" s="7" t="s">
        <v>1923</v>
      </c>
    </row>
    <row r="1113">
      <c r="A1113" s="3" t="s">
        <v>1752</v>
      </c>
      <c r="B1113" s="4" t="s">
        <v>1432</v>
      </c>
      <c r="C1113" s="5">
        <v>35637.0</v>
      </c>
      <c r="D1113" s="8" t="str">
        <f>+36.758021°</f>
        <v>#ERROR!</v>
      </c>
      <c r="E1113" s="7" t="s">
        <v>1924</v>
      </c>
    </row>
    <row r="1114">
      <c r="A1114" s="3" t="s">
        <v>1752</v>
      </c>
      <c r="B1114" s="4" t="s">
        <v>1925</v>
      </c>
      <c r="C1114" s="5">
        <v>7355.0</v>
      </c>
      <c r="D1114" s="8" t="str">
        <f>+37.743774°</f>
        <v>#ERROR!</v>
      </c>
      <c r="E1114" s="7" t="s">
        <v>1926</v>
      </c>
    </row>
    <row r="1115">
      <c r="A1115" s="3" t="s">
        <v>1752</v>
      </c>
      <c r="B1115" s="4" t="s">
        <v>1298</v>
      </c>
      <c r="C1115" s="5">
        <v>24939.0</v>
      </c>
      <c r="D1115" s="8" t="str">
        <f>+38.042789°</f>
        <v>#ERROR!</v>
      </c>
      <c r="E1115" s="7" t="s">
        <v>1927</v>
      </c>
    </row>
    <row r="1116">
      <c r="A1116" s="3" t="s">
        <v>1928</v>
      </c>
      <c r="B1116" s="4" t="s">
        <v>1929</v>
      </c>
      <c r="C1116" s="5">
        <v>61773.0</v>
      </c>
      <c r="D1116" s="8" t="str">
        <f>+30.291497°</f>
        <v>#ERROR!</v>
      </c>
      <c r="E1116" s="7" t="s">
        <v>1930</v>
      </c>
    </row>
    <row r="1117">
      <c r="A1117" s="3" t="s">
        <v>1928</v>
      </c>
      <c r="B1117" s="4" t="s">
        <v>1302</v>
      </c>
      <c r="C1117" s="5">
        <v>25764.0</v>
      </c>
      <c r="D1117" s="8" t="str">
        <f>+30.652744°</f>
        <v>#ERROR!</v>
      </c>
      <c r="E1117" s="7" t="s">
        <v>1931</v>
      </c>
    </row>
    <row r="1118">
      <c r="A1118" s="3" t="s">
        <v>1928</v>
      </c>
      <c r="B1118" s="4" t="s">
        <v>1932</v>
      </c>
      <c r="C1118" s="5">
        <v>107215.0</v>
      </c>
      <c r="D1118" s="8" t="str">
        <f>+30.202946°</f>
        <v>#ERROR!</v>
      </c>
      <c r="E1118" s="7" t="s">
        <v>1933</v>
      </c>
    </row>
    <row r="1119">
      <c r="A1119" s="3" t="s">
        <v>1928</v>
      </c>
      <c r="B1119" s="4" t="s">
        <v>1934</v>
      </c>
      <c r="C1119" s="5">
        <v>23421.0</v>
      </c>
      <c r="D1119" s="8" t="str">
        <f>+29.899884°</f>
        <v>#ERROR!</v>
      </c>
      <c r="E1119" s="7" t="s">
        <v>1935</v>
      </c>
    </row>
    <row r="1120">
      <c r="A1120" s="3" t="s">
        <v>1928</v>
      </c>
      <c r="B1120" s="4" t="s">
        <v>1936</v>
      </c>
      <c r="C1120" s="5">
        <v>42073.0</v>
      </c>
      <c r="D1120" s="8" t="str">
        <f>+31.085094°</f>
        <v>#ERROR!</v>
      </c>
      <c r="E1120" s="7" t="s">
        <v>1937</v>
      </c>
    </row>
    <row r="1121">
      <c r="A1121" s="3" t="s">
        <v>1928</v>
      </c>
      <c r="B1121" s="4" t="s">
        <v>1938</v>
      </c>
      <c r="C1121" s="5">
        <v>35654.0</v>
      </c>
      <c r="D1121" s="8" t="str">
        <f>+30.645018°</f>
        <v>#ERROR!</v>
      </c>
      <c r="E1121" s="7" t="s">
        <v>1939</v>
      </c>
    </row>
    <row r="1122">
      <c r="A1122" s="3" t="s">
        <v>1928</v>
      </c>
      <c r="B1122" s="4" t="s">
        <v>1940</v>
      </c>
      <c r="C1122" s="5">
        <v>14353.0</v>
      </c>
      <c r="D1122" s="8" t="str">
        <f>+32.344268°</f>
        <v>#ERROR!</v>
      </c>
      <c r="E1122" s="7" t="s">
        <v>1941</v>
      </c>
    </row>
    <row r="1123">
      <c r="A1123" s="3" t="s">
        <v>1928</v>
      </c>
      <c r="B1123" s="4" t="s">
        <v>1942</v>
      </c>
      <c r="C1123" s="5">
        <v>116979.0</v>
      </c>
      <c r="D1123" s="8" t="str">
        <f>+32.696202°</f>
        <v>#ERROR!</v>
      </c>
      <c r="E1123" s="7" t="s">
        <v>1943</v>
      </c>
    </row>
    <row r="1124">
      <c r="A1124" s="3" t="s">
        <v>1928</v>
      </c>
      <c r="B1124" s="4" t="s">
        <v>1944</v>
      </c>
      <c r="C1124" s="5">
        <v>254969.0</v>
      </c>
      <c r="D1124" s="8" t="str">
        <f>+32.577195°</f>
        <v>#ERROR!</v>
      </c>
      <c r="E1124" s="7" t="s">
        <v>1945</v>
      </c>
    </row>
    <row r="1125">
      <c r="A1125" s="3" t="s">
        <v>1928</v>
      </c>
      <c r="B1125" s="4" t="s">
        <v>1946</v>
      </c>
      <c r="C1125" s="5">
        <v>192768.0</v>
      </c>
      <c r="D1125" s="8" t="str">
        <f>+30.229559°</f>
        <v>#ERROR!</v>
      </c>
      <c r="E1125" s="7" t="s">
        <v>1947</v>
      </c>
    </row>
    <row r="1126">
      <c r="A1126" s="3" t="s">
        <v>1928</v>
      </c>
      <c r="B1126" s="4" t="s">
        <v>1779</v>
      </c>
      <c r="C1126" s="5">
        <v>10132.0</v>
      </c>
      <c r="D1126" s="8" t="str">
        <f>+32.101244°</f>
        <v>#ERROR!</v>
      </c>
      <c r="E1126" s="7" t="s">
        <v>1948</v>
      </c>
    </row>
    <row r="1127">
      <c r="A1127" s="3" t="s">
        <v>1928</v>
      </c>
      <c r="B1127" s="4" t="s">
        <v>1949</v>
      </c>
      <c r="C1127" s="5">
        <v>6839.0</v>
      </c>
      <c r="D1127" s="8" t="str">
        <f>+29.871989°</f>
        <v>#ERROR!</v>
      </c>
      <c r="E1127" s="7" t="s">
        <v>1950</v>
      </c>
    </row>
    <row r="1128">
      <c r="A1128" s="3" t="s">
        <v>1928</v>
      </c>
      <c r="B1128" s="4" t="s">
        <v>1951</v>
      </c>
      <c r="C1128" s="5">
        <v>10407.0</v>
      </c>
      <c r="D1128" s="8" t="str">
        <f>+31.666517°</f>
        <v>#ERROR!</v>
      </c>
      <c r="E1128" s="7" t="s">
        <v>1952</v>
      </c>
    </row>
    <row r="1129">
      <c r="A1129" s="3" t="s">
        <v>1928</v>
      </c>
      <c r="B1129" s="4" t="s">
        <v>1953</v>
      </c>
      <c r="C1129" s="5">
        <v>17195.0</v>
      </c>
      <c r="D1129" s="8" t="str">
        <f>+32.827585°</f>
        <v>#ERROR!</v>
      </c>
      <c r="E1129" s="7" t="s">
        <v>1954</v>
      </c>
    </row>
    <row r="1130">
      <c r="A1130" s="3" t="s">
        <v>1928</v>
      </c>
      <c r="B1130" s="4" t="s">
        <v>1955</v>
      </c>
      <c r="C1130" s="5">
        <v>20822.0</v>
      </c>
      <c r="D1130" s="8" t="str">
        <f>+31.469806°</f>
        <v>#ERROR!</v>
      </c>
      <c r="E1130" s="7" t="s">
        <v>1956</v>
      </c>
    </row>
    <row r="1131">
      <c r="A1131" s="3" t="s">
        <v>1928</v>
      </c>
      <c r="B1131" s="4" t="s">
        <v>1957</v>
      </c>
      <c r="C1131" s="5">
        <v>26656.0</v>
      </c>
      <c r="D1131" s="8" t="str">
        <f>+32.059248°</f>
        <v>#ERROR!</v>
      </c>
      <c r="E1131" s="7" t="s">
        <v>1958</v>
      </c>
    </row>
    <row r="1132">
      <c r="A1132" s="3" t="s">
        <v>1928</v>
      </c>
      <c r="B1132" s="4" t="s">
        <v>1959</v>
      </c>
      <c r="C1132" s="5">
        <v>440171.0</v>
      </c>
      <c r="D1132" s="8" t="str">
        <f>+30.544002°</f>
        <v>#ERROR!</v>
      </c>
      <c r="E1132" s="7" t="s">
        <v>1960</v>
      </c>
    </row>
    <row r="1133">
      <c r="A1133" s="3" t="s">
        <v>1928</v>
      </c>
      <c r="B1133" s="4" t="s">
        <v>1961</v>
      </c>
      <c r="C1133" s="5">
        <v>7759.0</v>
      </c>
      <c r="D1133" s="8" t="str">
        <f>+32.730170°</f>
        <v>#ERROR!</v>
      </c>
      <c r="E1133" s="7" t="s">
        <v>1962</v>
      </c>
    </row>
    <row r="1134">
      <c r="A1134" s="3" t="s">
        <v>1928</v>
      </c>
      <c r="B1134" s="4" t="s">
        <v>1963</v>
      </c>
      <c r="C1134" s="5">
        <v>20267.0</v>
      </c>
      <c r="D1134" s="8" t="str">
        <f>+30.839784°</f>
        <v>#ERROR!</v>
      </c>
      <c r="E1134" s="7" t="s">
        <v>1964</v>
      </c>
    </row>
    <row r="1135">
      <c r="A1135" s="3" t="s">
        <v>1928</v>
      </c>
      <c r="B1135" s="4" t="s">
        <v>1965</v>
      </c>
      <c r="C1135" s="5">
        <v>33984.0</v>
      </c>
      <c r="D1135" s="8" t="str">
        <f>+30.720693°</f>
        <v>#ERROR!</v>
      </c>
      <c r="E1135" s="7" t="s">
        <v>1966</v>
      </c>
    </row>
    <row r="1136">
      <c r="A1136" s="3" t="s">
        <v>1928</v>
      </c>
      <c r="B1136" s="4" t="s">
        <v>90</v>
      </c>
      <c r="C1136" s="5">
        <v>20767.0</v>
      </c>
      <c r="D1136" s="8" t="str">
        <f>+32.138279°</f>
        <v>#ERROR!</v>
      </c>
      <c r="E1136" s="7" t="s">
        <v>1967</v>
      </c>
    </row>
    <row r="1137">
      <c r="A1137" s="3" t="s">
        <v>1928</v>
      </c>
      <c r="B1137" s="4" t="s">
        <v>321</v>
      </c>
      <c r="C1137" s="5">
        <v>22309.0</v>
      </c>
      <c r="D1137" s="8" t="str">
        <f>+31.597787°</f>
        <v>#ERROR!</v>
      </c>
      <c r="E1137" s="7" t="s">
        <v>1968</v>
      </c>
    </row>
    <row r="1138">
      <c r="A1138" s="3" t="s">
        <v>1928</v>
      </c>
      <c r="B1138" s="4" t="s">
        <v>1969</v>
      </c>
      <c r="C1138" s="5">
        <v>73240.0</v>
      </c>
      <c r="D1138" s="8" t="str">
        <f>+29.606013°</f>
        <v>#ERROR!</v>
      </c>
      <c r="E1138" s="7" t="s">
        <v>1970</v>
      </c>
    </row>
    <row r="1139">
      <c r="A1139" s="3" t="s">
        <v>1928</v>
      </c>
      <c r="B1139" s="4" t="s">
        <v>1971</v>
      </c>
      <c r="C1139" s="5">
        <v>33387.0</v>
      </c>
      <c r="D1139" s="8" t="str">
        <f>+30.288394°</f>
        <v>#ERROR!</v>
      </c>
      <c r="E1139" s="7" t="s">
        <v>1972</v>
      </c>
    </row>
    <row r="1140">
      <c r="A1140" s="3" t="s">
        <v>1928</v>
      </c>
      <c r="B1140" s="4" t="s">
        <v>108</v>
      </c>
      <c r="C1140" s="5">
        <v>16274.0</v>
      </c>
      <c r="D1140" s="8" t="str">
        <f>+32.304480°</f>
        <v>#ERROR!</v>
      </c>
      <c r="E1140" s="7" t="s">
        <v>1973</v>
      </c>
    </row>
    <row r="1141">
      <c r="A1141" s="3" t="s">
        <v>1928</v>
      </c>
      <c r="B1141" s="4" t="s">
        <v>111</v>
      </c>
      <c r="C1141" s="5">
        <v>432552.0</v>
      </c>
      <c r="D1141" s="8" t="str">
        <f>+29.503300°</f>
        <v>#ERROR!</v>
      </c>
      <c r="E1141" s="7" t="s">
        <v>1974</v>
      </c>
    </row>
    <row r="1142">
      <c r="A1142" s="3" t="s">
        <v>1928</v>
      </c>
      <c r="B1142" s="4" t="s">
        <v>1975</v>
      </c>
      <c r="C1142" s="5">
        <v>31594.0</v>
      </c>
      <c r="D1142" s="8" t="str">
        <f>+30.269529°</f>
        <v>#ERROR!</v>
      </c>
      <c r="E1142" s="7" t="s">
        <v>1976</v>
      </c>
    </row>
    <row r="1143">
      <c r="A1143" s="3" t="s">
        <v>1928</v>
      </c>
      <c r="B1143" s="4" t="s">
        <v>338</v>
      </c>
      <c r="C1143" s="5">
        <v>221578.0</v>
      </c>
      <c r="D1143" s="8" t="str">
        <f>+30.206507°</f>
        <v>#ERROR!</v>
      </c>
      <c r="E1143" s="7" t="s">
        <v>1977</v>
      </c>
    </row>
    <row r="1144">
      <c r="A1144" s="3" t="s">
        <v>1928</v>
      </c>
      <c r="B1144" s="4" t="s">
        <v>1978</v>
      </c>
      <c r="C1144" s="5">
        <v>96318.0</v>
      </c>
      <c r="D1144" s="8" t="str">
        <f>+29.491993°</f>
        <v>#ERROR!</v>
      </c>
      <c r="E1144" s="7" t="s">
        <v>1979</v>
      </c>
    </row>
    <row r="1145">
      <c r="A1145" s="3" t="s">
        <v>1928</v>
      </c>
      <c r="B1145" s="4" t="s">
        <v>1219</v>
      </c>
      <c r="C1145" s="5">
        <v>14890.0</v>
      </c>
      <c r="D1145" s="8" t="str">
        <f>+31.680836°</f>
        <v>#ERROR!</v>
      </c>
      <c r="E1145" s="7" t="s">
        <v>1980</v>
      </c>
    </row>
    <row r="1146">
      <c r="A1146" s="3" t="s">
        <v>1928</v>
      </c>
      <c r="B1146" s="4" t="s">
        <v>342</v>
      </c>
      <c r="C1146" s="5">
        <v>46735.0</v>
      </c>
      <c r="D1146" s="8" t="str">
        <f>+32.601148°</f>
        <v>#ERROR!</v>
      </c>
      <c r="E1146" s="7" t="s">
        <v>1981</v>
      </c>
    </row>
    <row r="1147">
      <c r="A1147" s="3" t="s">
        <v>1928</v>
      </c>
      <c r="B1147" s="4" t="s">
        <v>1223</v>
      </c>
      <c r="C1147" s="5">
        <v>128026.0</v>
      </c>
      <c r="D1147" s="8" t="str">
        <f>+30.440419°</f>
        <v>#ERROR!</v>
      </c>
      <c r="E1147" s="7" t="s">
        <v>1982</v>
      </c>
    </row>
    <row r="1148">
      <c r="A1148" s="3" t="s">
        <v>1928</v>
      </c>
      <c r="B1148" s="4" t="s">
        <v>135</v>
      </c>
      <c r="C1148" s="5">
        <v>12093.0</v>
      </c>
      <c r="D1148" s="8" t="str">
        <f>+32.365824°</f>
        <v>#ERROR!</v>
      </c>
      <c r="E1148" s="7" t="s">
        <v>1983</v>
      </c>
    </row>
    <row r="1149">
      <c r="A1149" s="3" t="s">
        <v>1928</v>
      </c>
      <c r="B1149" s="4" t="s">
        <v>1984</v>
      </c>
      <c r="C1149" s="5">
        <v>27979.0</v>
      </c>
      <c r="D1149" s="8" t="str">
        <f>+32.820008°</f>
        <v>#ERROR!</v>
      </c>
      <c r="E1149" s="7" t="s">
        <v>1985</v>
      </c>
    </row>
    <row r="1150">
      <c r="A1150" s="3" t="s">
        <v>1928</v>
      </c>
      <c r="B1150" s="4" t="s">
        <v>1986</v>
      </c>
      <c r="C1150" s="5">
        <v>39566.0</v>
      </c>
      <c r="D1150" s="8" t="str">
        <f>+31.734982°</f>
        <v>#ERROR!</v>
      </c>
      <c r="E1150" s="7" t="s">
        <v>1987</v>
      </c>
    </row>
    <row r="1151">
      <c r="A1151" s="3" t="s">
        <v>1928</v>
      </c>
      <c r="B1151" s="4" t="s">
        <v>1988</v>
      </c>
      <c r="C1151" s="5">
        <v>343829.0</v>
      </c>
      <c r="D1151" s="8" t="str">
        <f>+30.068636°</f>
        <v>#ERROR!</v>
      </c>
      <c r="E1151" s="7" t="s">
        <v>1989</v>
      </c>
    </row>
    <row r="1152">
      <c r="A1152" s="3" t="s">
        <v>1928</v>
      </c>
      <c r="B1152" s="4" t="s">
        <v>362</v>
      </c>
      <c r="C1152" s="5">
        <v>153720.0</v>
      </c>
      <c r="D1152" s="8" t="str">
        <f>+32.477495°</f>
        <v>#ERROR!</v>
      </c>
      <c r="E1152" s="7" t="s">
        <v>1990</v>
      </c>
    </row>
    <row r="1153">
      <c r="A1153" s="3" t="s">
        <v>1928</v>
      </c>
      <c r="B1153" s="4" t="s">
        <v>1991</v>
      </c>
      <c r="C1153" s="5">
        <v>23042.0</v>
      </c>
      <c r="D1153" s="8" t="str">
        <f>+29.402337°</f>
        <v>#ERROR!</v>
      </c>
      <c r="E1153" s="7" t="s">
        <v>1992</v>
      </c>
    </row>
    <row r="1154">
      <c r="A1154" s="3" t="s">
        <v>1928</v>
      </c>
      <c r="B1154" s="4" t="s">
        <v>1993</v>
      </c>
      <c r="C1154" s="5">
        <v>22802.0</v>
      </c>
      <c r="D1154" s="8" t="str">
        <f>+30.708319°</f>
        <v>#ERROR!</v>
      </c>
      <c r="E1154" s="7" t="s">
        <v>1994</v>
      </c>
    </row>
    <row r="1155">
      <c r="A1155" s="3" t="s">
        <v>1928</v>
      </c>
      <c r="B1155" s="4" t="s">
        <v>1995</v>
      </c>
      <c r="C1155" s="5">
        <v>131613.0</v>
      </c>
      <c r="D1155" s="8" t="str">
        <f>+31.193204°</f>
        <v>#ERROR!</v>
      </c>
      <c r="E1155" s="7" t="s">
        <v>1996</v>
      </c>
    </row>
    <row r="1156">
      <c r="A1156" s="3" t="s">
        <v>1928</v>
      </c>
      <c r="B1156" s="4" t="s">
        <v>1997</v>
      </c>
      <c r="C1156" s="5">
        <v>9091.0</v>
      </c>
      <c r="D1156" s="8" t="str">
        <f>+32.101213°</f>
        <v>#ERROR!</v>
      </c>
      <c r="E1156" s="7" t="s">
        <v>1998</v>
      </c>
    </row>
    <row r="1157">
      <c r="A1157" s="3" t="s">
        <v>1928</v>
      </c>
      <c r="B1157" s="4" t="s">
        <v>1263</v>
      </c>
      <c r="C1157" s="5">
        <v>20725.0</v>
      </c>
      <c r="D1157" s="8" t="str">
        <f>+32.418121°</f>
        <v>#ERROR!</v>
      </c>
      <c r="E1157" s="7" t="s">
        <v>1999</v>
      </c>
    </row>
    <row r="1158">
      <c r="A1158" s="3" t="s">
        <v>1928</v>
      </c>
      <c r="B1158" s="4" t="s">
        <v>2000</v>
      </c>
      <c r="C1158" s="5">
        <v>24233.0</v>
      </c>
      <c r="D1158" s="8" t="str">
        <f>+31.560209°</f>
        <v>#ERROR!</v>
      </c>
      <c r="E1158" s="7" t="s">
        <v>2001</v>
      </c>
    </row>
    <row r="1159">
      <c r="A1159" s="3" t="s">
        <v>1928</v>
      </c>
      <c r="B1159" s="4" t="s">
        <v>2002</v>
      </c>
      <c r="C1159" s="5">
        <v>35897.0</v>
      </c>
      <c r="D1159" s="8" t="str">
        <f>+29.918110°</f>
        <v>#ERROR!</v>
      </c>
      <c r="E1159" s="7" t="s">
        <v>2003</v>
      </c>
    </row>
    <row r="1160">
      <c r="A1160" s="3" t="s">
        <v>1928</v>
      </c>
      <c r="B1160" s="4" t="s">
        <v>2004</v>
      </c>
      <c r="C1160" s="5">
        <v>52780.0</v>
      </c>
      <c r="D1160" s="8" t="str">
        <f>+29.913833°</f>
        <v>#ERROR!</v>
      </c>
      <c r="E1160" s="7" t="s">
        <v>2005</v>
      </c>
    </row>
    <row r="1161">
      <c r="A1161" s="3" t="s">
        <v>1928</v>
      </c>
      <c r="B1161" s="4" t="s">
        <v>2006</v>
      </c>
      <c r="C1161" s="5">
        <v>11203.0</v>
      </c>
      <c r="D1161" s="8" t="str">
        <f>+30.821423°</f>
        <v>#ERROR!</v>
      </c>
      <c r="E1161" s="7" t="s">
        <v>2007</v>
      </c>
    </row>
    <row r="1162">
      <c r="A1162" s="3" t="s">
        <v>1928</v>
      </c>
      <c r="B1162" s="4" t="s">
        <v>2008</v>
      </c>
      <c r="C1162" s="5">
        <v>22102.0</v>
      </c>
      <c r="D1162" s="8" t="str">
        <f>+30.024820°</f>
        <v>#ERROR!</v>
      </c>
      <c r="E1162" s="7" t="s">
        <v>2009</v>
      </c>
    </row>
    <row r="1163">
      <c r="A1163" s="3" t="s">
        <v>1928</v>
      </c>
      <c r="B1163" s="4" t="s">
        <v>2010</v>
      </c>
      <c r="C1163" s="5">
        <v>45924.0</v>
      </c>
      <c r="D1163" s="8" t="str">
        <f>+30.117471°</f>
        <v>#ERROR!</v>
      </c>
      <c r="E1163" s="7" t="s">
        <v>2011</v>
      </c>
    </row>
    <row r="1164">
      <c r="A1164" s="3" t="s">
        <v>1928</v>
      </c>
      <c r="B1164" s="4" t="s">
        <v>2012</v>
      </c>
      <c r="C1164" s="5">
        <v>83384.0</v>
      </c>
      <c r="D1164" s="8" t="str">
        <f>+30.583441°</f>
        <v>#ERROR!</v>
      </c>
      <c r="E1164" s="7" t="s">
        <v>2013</v>
      </c>
    </row>
    <row r="1165">
      <c r="A1165" s="3" t="s">
        <v>1928</v>
      </c>
      <c r="B1165" s="4" t="s">
        <v>2014</v>
      </c>
      <c r="C1165" s="5">
        <v>52160.0</v>
      </c>
      <c r="D1165" s="8" t="str">
        <f>+30.121433°</f>
        <v>#ERROR!</v>
      </c>
      <c r="E1165" s="7" t="s">
        <v>2015</v>
      </c>
    </row>
    <row r="1166">
      <c r="A1166" s="3" t="s">
        <v>1928</v>
      </c>
      <c r="B1166" s="4" t="s">
        <v>2016</v>
      </c>
      <c r="C1166" s="5">
        <v>54650.0</v>
      </c>
      <c r="D1166" s="8" t="str">
        <f>+29.629349°</f>
        <v>#ERROR!</v>
      </c>
      <c r="E1166" s="7" t="s">
        <v>2017</v>
      </c>
    </row>
    <row r="1167">
      <c r="A1167" s="3" t="s">
        <v>1928</v>
      </c>
      <c r="B1167" s="4" t="s">
        <v>2018</v>
      </c>
      <c r="C1167" s="5">
        <v>233740.0</v>
      </c>
      <c r="D1167" s="8" t="str">
        <f>+30.410022°</f>
        <v>#ERROR!</v>
      </c>
      <c r="E1167" s="7" t="s">
        <v>2019</v>
      </c>
    </row>
    <row r="1168">
      <c r="A1168" s="3" t="s">
        <v>1928</v>
      </c>
      <c r="B1168" s="4" t="s">
        <v>2020</v>
      </c>
      <c r="C1168" s="5">
        <v>121097.0</v>
      </c>
      <c r="D1168" s="8" t="str">
        <f>+30.621581°</f>
        <v>#ERROR!</v>
      </c>
      <c r="E1168" s="7" t="s">
        <v>2021</v>
      </c>
    </row>
    <row r="1169">
      <c r="A1169" s="3" t="s">
        <v>1928</v>
      </c>
      <c r="B1169" s="4" t="s">
        <v>2022</v>
      </c>
      <c r="C1169" s="5">
        <v>5252.0</v>
      </c>
      <c r="D1169" s="8" t="str">
        <f>+32.001489°</f>
        <v>#ERROR!</v>
      </c>
      <c r="E1169" s="7" t="s">
        <v>2023</v>
      </c>
    </row>
    <row r="1170">
      <c r="A1170" s="3" t="s">
        <v>1928</v>
      </c>
      <c r="B1170" s="4" t="s">
        <v>2024</v>
      </c>
      <c r="C1170" s="5">
        <v>111860.0</v>
      </c>
      <c r="D1170" s="8" t="str">
        <f>+29.333266°</f>
        <v>#ERROR!</v>
      </c>
      <c r="E1170" s="7" t="s">
        <v>2025</v>
      </c>
    </row>
    <row r="1171">
      <c r="A1171" s="3" t="s">
        <v>1928</v>
      </c>
      <c r="B1171" s="4" t="s">
        <v>395</v>
      </c>
      <c r="C1171" s="5">
        <v>22721.0</v>
      </c>
      <c r="D1171" s="8" t="str">
        <f>+32.829349°</f>
        <v>#ERROR!</v>
      </c>
      <c r="E1171" s="7" t="s">
        <v>2026</v>
      </c>
    </row>
    <row r="1172">
      <c r="A1172" s="3" t="s">
        <v>1928</v>
      </c>
      <c r="B1172" s="4" t="s">
        <v>1282</v>
      </c>
      <c r="C1172" s="5">
        <v>57999.0</v>
      </c>
      <c r="D1172" s="8" t="str">
        <f>+29.786872°</f>
        <v>#ERROR!</v>
      </c>
      <c r="E1172" s="7" t="s">
        <v>2027</v>
      </c>
    </row>
    <row r="1173">
      <c r="A1173" s="3" t="s">
        <v>1928</v>
      </c>
      <c r="B1173" s="4" t="s">
        <v>2028</v>
      </c>
      <c r="C1173" s="5">
        <v>52334.0</v>
      </c>
      <c r="D1173" s="8" t="str">
        <f>+31.110563°</f>
        <v>#ERROR!</v>
      </c>
      <c r="E1173" s="7" t="s">
        <v>2029</v>
      </c>
    </row>
    <row r="1174">
      <c r="A1174" s="3" t="s">
        <v>1928</v>
      </c>
      <c r="B1174" s="4" t="s">
        <v>177</v>
      </c>
      <c r="C1174" s="5">
        <v>47168.0</v>
      </c>
      <c r="D1174" s="8" t="str">
        <f>+30.852144°</f>
        <v>#ERROR!</v>
      </c>
      <c r="E1174" s="7" t="s">
        <v>2030</v>
      </c>
    </row>
    <row r="1175">
      <c r="A1175" s="3" t="s">
        <v>1928</v>
      </c>
      <c r="B1175" s="4" t="s">
        <v>1040</v>
      </c>
      <c r="C1175" s="5">
        <v>41207.0</v>
      </c>
      <c r="D1175" s="8" t="str">
        <f>+32.732152°</f>
        <v>#ERROR!</v>
      </c>
      <c r="E1175" s="7" t="s">
        <v>2031</v>
      </c>
    </row>
    <row r="1176">
      <c r="A1176" s="3" t="s">
        <v>1928</v>
      </c>
      <c r="B1176" s="4" t="s">
        <v>2032</v>
      </c>
      <c r="C1176" s="5">
        <v>23788.0</v>
      </c>
      <c r="D1176" s="8" t="str">
        <f>+30.464052°</f>
        <v>#ERROR!</v>
      </c>
      <c r="E1176" s="7" t="s">
        <v>2033</v>
      </c>
    </row>
    <row r="1177">
      <c r="A1177" s="3" t="s">
        <v>1928</v>
      </c>
      <c r="B1177" s="4" t="s">
        <v>2034</v>
      </c>
      <c r="C1177" s="5">
        <v>11604.0</v>
      </c>
      <c r="D1177" s="8" t="str">
        <f>+32.792480°</f>
        <v>#ERROR!</v>
      </c>
      <c r="E1177" s="7" t="s">
        <v>2035</v>
      </c>
    </row>
    <row r="1178">
      <c r="A1178" s="3" t="s">
        <v>1928</v>
      </c>
      <c r="B1178" s="4" t="s">
        <v>2036</v>
      </c>
      <c r="C1178" s="5">
        <v>15625.0</v>
      </c>
      <c r="D1178" s="8" t="str">
        <f>+30.872701°</f>
        <v>#ERROR!</v>
      </c>
      <c r="E1178" s="7" t="s">
        <v>2037</v>
      </c>
    </row>
    <row r="1179">
      <c r="A1179" s="3" t="s">
        <v>1928</v>
      </c>
      <c r="B1179" s="4" t="s">
        <v>2038</v>
      </c>
      <c r="C1179" s="5">
        <v>15313.0</v>
      </c>
      <c r="D1179" s="8" t="str">
        <f>+31.941187°</f>
        <v>#ERROR!</v>
      </c>
      <c r="E1179" s="7" t="s">
        <v>2039</v>
      </c>
    </row>
    <row r="1180">
      <c r="A1180" s="3" t="s">
        <v>2040</v>
      </c>
      <c r="B1180" s="4" t="s">
        <v>2041</v>
      </c>
      <c r="C1180" s="5">
        <v>107702.0</v>
      </c>
      <c r="D1180" s="8" t="str">
        <f>+44.167681°</f>
        <v>#ERROR!</v>
      </c>
      <c r="E1180" s="7" t="s">
        <v>2042</v>
      </c>
    </row>
    <row r="1181">
      <c r="A1181" s="3" t="s">
        <v>2040</v>
      </c>
      <c r="B1181" s="4" t="s">
        <v>2043</v>
      </c>
      <c r="C1181" s="5">
        <v>71870.0</v>
      </c>
      <c r="D1181" s="8" t="str">
        <f>+46.727057°</f>
        <v>#ERROR!</v>
      </c>
      <c r="E1181" s="7" t="s">
        <v>2044</v>
      </c>
    </row>
    <row r="1182">
      <c r="A1182" s="3" t="s">
        <v>2040</v>
      </c>
      <c r="B1182" s="4" t="s">
        <v>1170</v>
      </c>
      <c r="C1182" s="5">
        <v>281674.0</v>
      </c>
      <c r="D1182" s="8" t="str">
        <f>+43.808348°</f>
        <v>#ERROR!</v>
      </c>
      <c r="E1182" s="7" t="s">
        <v>2045</v>
      </c>
    </row>
    <row r="1183">
      <c r="A1183" s="3" t="s">
        <v>2040</v>
      </c>
      <c r="B1183" s="4" t="s">
        <v>90</v>
      </c>
      <c r="C1183" s="5">
        <v>30768.0</v>
      </c>
      <c r="D1183" s="8" t="str">
        <f>+44.973012°</f>
        <v>#ERROR!</v>
      </c>
      <c r="E1183" s="7" t="s">
        <v>2046</v>
      </c>
    </row>
    <row r="1184">
      <c r="A1184" s="3" t="s">
        <v>2040</v>
      </c>
      <c r="B1184" s="4" t="s">
        <v>907</v>
      </c>
      <c r="C1184" s="5">
        <v>54418.0</v>
      </c>
      <c r="D1184" s="8" t="str">
        <f>+44.564906°</f>
        <v>#ERROR!</v>
      </c>
      <c r="E1184" s="7" t="s">
        <v>2047</v>
      </c>
    </row>
    <row r="1185">
      <c r="A1185" s="3" t="s">
        <v>2040</v>
      </c>
      <c r="B1185" s="4" t="s">
        <v>2048</v>
      </c>
      <c r="C1185" s="5">
        <v>122151.0</v>
      </c>
      <c r="D1185" s="8" t="str">
        <f>+44.417012°</f>
        <v>#ERROR!</v>
      </c>
      <c r="E1185" s="7" t="s">
        <v>2049</v>
      </c>
    </row>
    <row r="1186">
      <c r="A1186" s="3" t="s">
        <v>2040</v>
      </c>
      <c r="B1186" s="4" t="s">
        <v>1216</v>
      </c>
      <c r="C1186" s="5">
        <v>39736.0</v>
      </c>
      <c r="D1186" s="8" t="str">
        <f>+44.042045°</f>
        <v>#ERROR!</v>
      </c>
      <c r="E1186" s="7" t="s">
        <v>2050</v>
      </c>
    </row>
    <row r="1187">
      <c r="A1187" s="3" t="s">
        <v>2040</v>
      </c>
      <c r="B1187" s="4" t="s">
        <v>342</v>
      </c>
      <c r="C1187" s="5">
        <v>34457.0</v>
      </c>
      <c r="D1187" s="8" t="str">
        <f>+43.994265°</f>
        <v>#ERROR!</v>
      </c>
      <c r="E1187" s="7" t="s">
        <v>2051</v>
      </c>
    </row>
    <row r="1188">
      <c r="A1188" s="3" t="s">
        <v>2040</v>
      </c>
      <c r="B1188" s="4" t="s">
        <v>2052</v>
      </c>
      <c r="C1188" s="5">
        <v>57833.0</v>
      </c>
      <c r="D1188" s="8" t="str">
        <f>+44.494585°</f>
        <v>#ERROR!</v>
      </c>
      <c r="E1188" s="7" t="s">
        <v>2053</v>
      </c>
    </row>
    <row r="1189">
      <c r="A1189" s="3" t="s">
        <v>2040</v>
      </c>
      <c r="B1189" s="4" t="s">
        <v>2054</v>
      </c>
      <c r="C1189" s="5">
        <v>153923.0</v>
      </c>
      <c r="D1189" s="8" t="str">
        <f>+45.390602°</f>
        <v>#ERROR!</v>
      </c>
      <c r="E1189" s="7" t="s">
        <v>2055</v>
      </c>
    </row>
    <row r="1190">
      <c r="A1190" s="3" t="s">
        <v>2040</v>
      </c>
      <c r="B1190" s="4" t="s">
        <v>2056</v>
      </c>
      <c r="C1190" s="5">
        <v>17535.0</v>
      </c>
      <c r="D1190" s="8" t="str">
        <f>+45.917678°</f>
        <v>#ERROR!</v>
      </c>
      <c r="E1190" s="7" t="s">
        <v>2057</v>
      </c>
    </row>
    <row r="1191">
      <c r="A1191" s="3" t="s">
        <v>2040</v>
      </c>
      <c r="B1191" s="4" t="s">
        <v>2058</v>
      </c>
      <c r="C1191" s="5">
        <v>35293.0</v>
      </c>
      <c r="D1191" s="8" t="str">
        <f>+43.916694°</f>
        <v>#ERROR!</v>
      </c>
      <c r="E1191" s="7" t="s">
        <v>2059</v>
      </c>
    </row>
    <row r="1192">
      <c r="A1192" s="3" t="s">
        <v>2040</v>
      </c>
      <c r="B1192" s="4" t="s">
        <v>2060</v>
      </c>
      <c r="C1192" s="5">
        <v>52228.0</v>
      </c>
      <c r="D1192" s="8" t="str">
        <f>+45.507482°</f>
        <v>#ERROR!</v>
      </c>
      <c r="E1192" s="7" t="s">
        <v>2061</v>
      </c>
    </row>
    <row r="1193">
      <c r="A1193" s="3" t="s">
        <v>2040</v>
      </c>
      <c r="B1193" s="4" t="s">
        <v>2062</v>
      </c>
      <c r="C1193" s="5">
        <v>38786.0</v>
      </c>
      <c r="D1193" s="8" t="str">
        <f>+44.505361°</f>
        <v>#ERROR!</v>
      </c>
      <c r="E1193" s="7" t="s">
        <v>2063</v>
      </c>
    </row>
    <row r="1194">
      <c r="A1194" s="3" t="s">
        <v>2040</v>
      </c>
      <c r="B1194" s="4" t="s">
        <v>177</v>
      </c>
      <c r="C1194" s="5">
        <v>32856.0</v>
      </c>
      <c r="D1194" s="8" t="str">
        <f>+44.967009°</f>
        <v>#ERROR!</v>
      </c>
      <c r="E1194" s="7" t="s">
        <v>2064</v>
      </c>
    </row>
    <row r="1195">
      <c r="A1195" s="3" t="s">
        <v>2040</v>
      </c>
      <c r="B1195" s="4" t="s">
        <v>2065</v>
      </c>
      <c r="C1195" s="5">
        <v>197131.0</v>
      </c>
      <c r="D1195" s="8" t="str">
        <f>+43.427239°</f>
        <v>#ERROR!</v>
      </c>
      <c r="E1195" s="7" t="s">
        <v>2066</v>
      </c>
    </row>
    <row r="1196">
      <c r="A1196" s="3" t="s">
        <v>2067</v>
      </c>
      <c r="B1196" s="4" t="s">
        <v>2068</v>
      </c>
      <c r="C1196" s="5">
        <v>75087.0</v>
      </c>
      <c r="D1196" s="8" t="str">
        <f>+39.612309°</f>
        <v>#ERROR!</v>
      </c>
      <c r="E1196" s="7" t="s">
        <v>2069</v>
      </c>
    </row>
    <row r="1197">
      <c r="A1197" s="3" t="s">
        <v>2067</v>
      </c>
      <c r="B1197" s="4" t="s">
        <v>2070</v>
      </c>
      <c r="C1197" s="5">
        <v>537656.0</v>
      </c>
      <c r="D1197" s="8" t="str">
        <f>+38.993374°</f>
        <v>#ERROR!</v>
      </c>
      <c r="E1197" s="7" t="s">
        <v>2071</v>
      </c>
    </row>
    <row r="1198">
      <c r="A1198" s="3" t="s">
        <v>2067</v>
      </c>
      <c r="B1198" s="4" t="s">
        <v>2072</v>
      </c>
      <c r="C1198" s="5">
        <v>805029.0</v>
      </c>
      <c r="D1198" s="8" t="str">
        <f>+39.443167°</f>
        <v>#ERROR!</v>
      </c>
      <c r="E1198" s="7" t="s">
        <v>2073</v>
      </c>
    </row>
    <row r="1199">
      <c r="A1199" s="3" t="s">
        <v>2067</v>
      </c>
      <c r="B1199" s="4" t="s">
        <v>2074</v>
      </c>
      <c r="C1199" s="5">
        <v>88737.0</v>
      </c>
      <c r="D1199" s="8" t="str">
        <f>+38.521358°</f>
        <v>#ERROR!</v>
      </c>
      <c r="E1199" s="7" t="s">
        <v>2075</v>
      </c>
    </row>
    <row r="1200">
      <c r="A1200" s="3" t="s">
        <v>2067</v>
      </c>
      <c r="B1200" s="4" t="s">
        <v>2076</v>
      </c>
      <c r="C1200" s="5">
        <v>33066.0</v>
      </c>
      <c r="D1200" s="8" t="str">
        <f>+38.871531°</f>
        <v>#ERROR!</v>
      </c>
      <c r="E1200" s="7" t="s">
        <v>2077</v>
      </c>
    </row>
    <row r="1201">
      <c r="A1201" s="3" t="s">
        <v>2067</v>
      </c>
      <c r="B1201" s="4" t="s">
        <v>287</v>
      </c>
      <c r="C1201" s="5">
        <v>167134.0</v>
      </c>
      <c r="D1201" s="8" t="str">
        <f>+39.563189°</f>
        <v>#ERROR!</v>
      </c>
      <c r="E1201" s="7" t="s">
        <v>2078</v>
      </c>
    </row>
    <row r="1202">
      <c r="A1202" s="3" t="s">
        <v>2067</v>
      </c>
      <c r="B1202" s="4" t="s">
        <v>2079</v>
      </c>
      <c r="C1202" s="5">
        <v>101108.0</v>
      </c>
      <c r="D1202" s="8" t="str">
        <f>+39.562352°</f>
        <v>#ERROR!</v>
      </c>
      <c r="E1202" s="7" t="s">
        <v>2080</v>
      </c>
    </row>
    <row r="1203">
      <c r="A1203" s="3" t="s">
        <v>2067</v>
      </c>
      <c r="B1203" s="4" t="s">
        <v>2081</v>
      </c>
      <c r="C1203" s="5">
        <v>146551.0</v>
      </c>
      <c r="D1203" s="8" t="str">
        <f>+38.472853°</f>
        <v>#ERROR!</v>
      </c>
      <c r="E1203" s="7" t="s">
        <v>2082</v>
      </c>
    </row>
    <row r="1204">
      <c r="A1204" s="3" t="s">
        <v>2067</v>
      </c>
      <c r="B1204" s="4" t="s">
        <v>2083</v>
      </c>
      <c r="C1204" s="5">
        <v>32618.0</v>
      </c>
      <c r="D1204" s="8" t="str">
        <f>+38.429196°</f>
        <v>#ERROR!</v>
      </c>
      <c r="E1204" s="7" t="s">
        <v>2084</v>
      </c>
    </row>
    <row r="1205">
      <c r="A1205" s="3" t="s">
        <v>2067</v>
      </c>
      <c r="B1205" s="4" t="s">
        <v>2085</v>
      </c>
      <c r="C1205" s="5">
        <v>233385.0</v>
      </c>
      <c r="D1205" s="8" t="str">
        <f>+39.470427°</f>
        <v>#ERROR!</v>
      </c>
      <c r="E1205" s="7" t="s">
        <v>2086</v>
      </c>
    </row>
    <row r="1206">
      <c r="A1206" s="3" t="s">
        <v>2067</v>
      </c>
      <c r="B1206" s="4" t="s">
        <v>2087</v>
      </c>
      <c r="C1206" s="5">
        <v>30097.0</v>
      </c>
      <c r="D1206" s="8" t="str">
        <f>+39.529871°</f>
        <v>#ERROR!</v>
      </c>
      <c r="E1206" s="7" t="s">
        <v>2088</v>
      </c>
    </row>
    <row r="1207">
      <c r="A1207" s="3" t="s">
        <v>2067</v>
      </c>
      <c r="B1207" s="4" t="s">
        <v>2089</v>
      </c>
      <c r="C1207" s="5">
        <v>244826.0</v>
      </c>
      <c r="D1207" s="8" t="str">
        <f>+39.537429°</f>
        <v>#ERROR!</v>
      </c>
      <c r="E1207" s="7" t="s">
        <v>2090</v>
      </c>
    </row>
    <row r="1208">
      <c r="A1208" s="3" t="s">
        <v>2067</v>
      </c>
      <c r="B1208" s="4" t="s">
        <v>328</v>
      </c>
      <c r="C1208" s="5">
        <v>287085.0</v>
      </c>
      <c r="D1208" s="8" t="str">
        <f>+39.252264°</f>
        <v>#ERROR!</v>
      </c>
      <c r="E1208" s="7" t="s">
        <v>2091</v>
      </c>
    </row>
    <row r="1209">
      <c r="A1209" s="3" t="s">
        <v>2067</v>
      </c>
      <c r="B1209" s="4" t="s">
        <v>659</v>
      </c>
      <c r="C1209" s="5">
        <v>20197.0</v>
      </c>
      <c r="D1209" s="8" t="str">
        <f>+39.239177°</f>
        <v>#ERROR!</v>
      </c>
      <c r="E1209" s="7" t="s">
        <v>2092</v>
      </c>
    </row>
    <row r="1210">
      <c r="A1210" s="3" t="s">
        <v>2067</v>
      </c>
      <c r="B1210" s="4" t="s">
        <v>149</v>
      </c>
      <c r="C1210" s="5">
        <v>971777.0</v>
      </c>
      <c r="D1210" s="8" t="str">
        <f>+39.137382°</f>
        <v>#ERROR!</v>
      </c>
      <c r="E1210" s="7" t="s">
        <v>2093</v>
      </c>
    </row>
    <row r="1211">
      <c r="A1211" s="3" t="s">
        <v>2067</v>
      </c>
      <c r="B1211" s="4" t="s">
        <v>2094</v>
      </c>
      <c r="C1211" s="5">
        <v>863420.0</v>
      </c>
      <c r="D1211" s="8" t="str">
        <f>+38.825880°</f>
        <v>#ERROR!</v>
      </c>
      <c r="E1211" s="7" t="s">
        <v>2095</v>
      </c>
    </row>
    <row r="1212">
      <c r="A1212" s="3" t="s">
        <v>2067</v>
      </c>
      <c r="B1212" s="4" t="s">
        <v>2096</v>
      </c>
      <c r="C1212" s="5">
        <v>47798.0</v>
      </c>
      <c r="D1212" s="8" t="str">
        <f>+39.040693°</f>
        <v>#ERROR!</v>
      </c>
      <c r="E1212" s="7" t="s">
        <v>2097</v>
      </c>
    </row>
    <row r="1213">
      <c r="A1213" s="3" t="s">
        <v>2067</v>
      </c>
      <c r="B1213" s="4" t="s">
        <v>2098</v>
      </c>
      <c r="C1213" s="5">
        <v>105151.0</v>
      </c>
      <c r="D1213" s="8" t="str">
        <f>+38.222666°</f>
        <v>#ERROR!</v>
      </c>
      <c r="E1213" s="7" t="s">
        <v>2099</v>
      </c>
    </row>
    <row r="1214">
      <c r="A1214" s="3" t="s">
        <v>2067</v>
      </c>
      <c r="B1214" s="4" t="s">
        <v>2060</v>
      </c>
      <c r="C1214" s="5">
        <v>26470.0</v>
      </c>
      <c r="D1214" s="8" t="str">
        <f>+38.074450°</f>
        <v>#ERROR!</v>
      </c>
      <c r="E1214" s="7" t="s">
        <v>2100</v>
      </c>
    </row>
    <row r="1215">
      <c r="A1215" s="3" t="s">
        <v>2067</v>
      </c>
      <c r="B1215" s="4" t="s">
        <v>1001</v>
      </c>
      <c r="C1215" s="5">
        <v>37782.0</v>
      </c>
      <c r="D1215" s="8" t="str">
        <f>+38.749427°</f>
        <v>#ERROR!</v>
      </c>
      <c r="E1215" s="7" t="s">
        <v>2101</v>
      </c>
    </row>
    <row r="1216">
      <c r="A1216" s="3" t="s">
        <v>2067</v>
      </c>
      <c r="B1216" s="4" t="s">
        <v>177</v>
      </c>
      <c r="C1216" s="5">
        <v>147430.0</v>
      </c>
      <c r="D1216" s="8" t="str">
        <f>+39.603621°</f>
        <v>#ERROR!</v>
      </c>
      <c r="E1216" s="7" t="s">
        <v>2102</v>
      </c>
    </row>
    <row r="1217">
      <c r="A1217" s="3" t="s">
        <v>2067</v>
      </c>
      <c r="B1217" s="4" t="s">
        <v>2103</v>
      </c>
      <c r="C1217" s="5">
        <v>98733.0</v>
      </c>
      <c r="D1217" s="8" t="str">
        <f>+38.367389°</f>
        <v>#ERROR!</v>
      </c>
      <c r="E1217" s="7" t="s">
        <v>2104</v>
      </c>
    </row>
    <row r="1218">
      <c r="A1218" s="3" t="s">
        <v>2067</v>
      </c>
      <c r="B1218" s="4" t="s">
        <v>2105</v>
      </c>
      <c r="C1218" s="5">
        <v>51454.0</v>
      </c>
      <c r="D1218" s="8" t="str">
        <f>+38.222133°</f>
        <v>#ERROR!</v>
      </c>
      <c r="E1218" s="7" t="s">
        <v>2106</v>
      </c>
    </row>
    <row r="1219">
      <c r="A1219" s="3" t="s">
        <v>2067</v>
      </c>
      <c r="B1219" s="4" t="s">
        <v>2107</v>
      </c>
      <c r="C1219" s="5">
        <v>620961.0</v>
      </c>
      <c r="D1219" s="8" t="str">
        <f>+39.300214°</f>
        <v>#ERROR!</v>
      </c>
      <c r="E1219" s="7" t="s">
        <v>2108</v>
      </c>
    </row>
    <row r="1220">
      <c r="A1220" s="3" t="s">
        <v>2109</v>
      </c>
      <c r="B1220" s="4" t="s">
        <v>2110</v>
      </c>
      <c r="C1220" s="5">
        <v>215888.0</v>
      </c>
      <c r="D1220" s="8" t="str">
        <f>+41.798819°</f>
        <v>#ERROR!</v>
      </c>
      <c r="E1220" s="7" t="s">
        <v>2111</v>
      </c>
    </row>
    <row r="1221">
      <c r="A1221" s="3" t="s">
        <v>2109</v>
      </c>
      <c r="B1221" s="4" t="s">
        <v>2112</v>
      </c>
      <c r="C1221" s="5">
        <v>131219.0</v>
      </c>
      <c r="D1221" s="8" t="str">
        <f>+42.375314°</f>
        <v>#ERROR!</v>
      </c>
      <c r="E1221" s="7" t="s">
        <v>2113</v>
      </c>
    </row>
    <row r="1222">
      <c r="A1222" s="3" t="s">
        <v>2109</v>
      </c>
      <c r="B1222" s="4" t="s">
        <v>2114</v>
      </c>
      <c r="C1222" s="5">
        <v>548285.0</v>
      </c>
      <c r="D1222" s="8" t="str">
        <f>+41.748576°</f>
        <v>#ERROR!</v>
      </c>
      <c r="E1222" s="7" t="s">
        <v>2115</v>
      </c>
    </row>
    <row r="1223">
      <c r="A1223" s="3" t="s">
        <v>2109</v>
      </c>
      <c r="B1223" s="4" t="s">
        <v>2116</v>
      </c>
      <c r="C1223" s="5">
        <v>16535.0</v>
      </c>
      <c r="D1223" s="8" t="str">
        <f>+41.380939°</f>
        <v>#ERROR!</v>
      </c>
      <c r="E1223" s="7" t="s">
        <v>2117</v>
      </c>
    </row>
    <row r="1224">
      <c r="A1224" s="3" t="s">
        <v>2109</v>
      </c>
      <c r="B1224" s="4" t="s">
        <v>2118</v>
      </c>
      <c r="C1224" s="5">
        <v>743159.0</v>
      </c>
      <c r="D1224" s="8" t="str">
        <f>+42.642711°</f>
        <v>#ERROR!</v>
      </c>
      <c r="E1224" s="7" t="s">
        <v>2119</v>
      </c>
    </row>
    <row r="1225">
      <c r="A1225" s="3" t="s">
        <v>2109</v>
      </c>
      <c r="B1225" s="4" t="s">
        <v>90</v>
      </c>
      <c r="C1225" s="5">
        <v>71372.0</v>
      </c>
      <c r="D1225" s="8" t="str">
        <f>+42.583791°</f>
        <v>#ERROR!</v>
      </c>
      <c r="E1225" s="7" t="s">
        <v>2120</v>
      </c>
    </row>
    <row r="1226">
      <c r="A1226" s="3" t="s">
        <v>2109</v>
      </c>
      <c r="B1226" s="4" t="s">
        <v>2121</v>
      </c>
      <c r="C1226" s="5">
        <v>463490.0</v>
      </c>
      <c r="D1226" s="8" t="str">
        <f>+42.136198°</f>
        <v>#ERROR!</v>
      </c>
      <c r="E1226" s="7" t="s">
        <v>2122</v>
      </c>
    </row>
    <row r="1227">
      <c r="A1227" s="3" t="s">
        <v>2109</v>
      </c>
      <c r="B1227" s="4" t="s">
        <v>2123</v>
      </c>
      <c r="C1227" s="5">
        <v>158080.0</v>
      </c>
      <c r="D1227" s="8" t="str">
        <f>+42.339459°</f>
        <v>#ERROR!</v>
      </c>
      <c r="E1227" s="7" t="s">
        <v>2124</v>
      </c>
    </row>
    <row r="1228">
      <c r="A1228" s="3" t="s">
        <v>2109</v>
      </c>
      <c r="B1228" s="4" t="s">
        <v>2125</v>
      </c>
      <c r="C1228" s="5">
        <v>1503085.0</v>
      </c>
      <c r="D1228" s="8" t="str">
        <f>+42.479477°</f>
        <v>#ERROR!</v>
      </c>
      <c r="E1228" s="7" t="s">
        <v>2126</v>
      </c>
    </row>
    <row r="1229">
      <c r="A1229" s="3" t="s">
        <v>2109</v>
      </c>
      <c r="B1229" s="4" t="s">
        <v>2127</v>
      </c>
      <c r="C1229" s="5">
        <v>10172.0</v>
      </c>
      <c r="D1229" s="8" t="str">
        <f>+41.305878°</f>
        <v>#ERROR!</v>
      </c>
      <c r="E1229" s="7" t="s">
        <v>2128</v>
      </c>
    </row>
    <row r="1230">
      <c r="A1230" s="3" t="s">
        <v>2109</v>
      </c>
      <c r="B1230" s="4" t="s">
        <v>2129</v>
      </c>
      <c r="C1230" s="5">
        <v>670850.0</v>
      </c>
      <c r="D1230" s="8" t="str">
        <f>+42.169703°</f>
        <v>#ERROR!</v>
      </c>
      <c r="E1230" s="7" t="s">
        <v>2130</v>
      </c>
    </row>
    <row r="1231">
      <c r="A1231" s="3" t="s">
        <v>2109</v>
      </c>
      <c r="B1231" s="4" t="s">
        <v>1541</v>
      </c>
      <c r="C1231" s="5">
        <v>494919.0</v>
      </c>
      <c r="D1231" s="8" t="str">
        <f>+41.987196°</f>
        <v>#ERROR!</v>
      </c>
      <c r="E1231" s="7" t="s">
        <v>2131</v>
      </c>
    </row>
    <row r="1232">
      <c r="A1232" s="3" t="s">
        <v>2109</v>
      </c>
      <c r="B1232" s="4" t="s">
        <v>2132</v>
      </c>
      <c r="C1232" s="5">
        <v>722023.0</v>
      </c>
      <c r="D1232" s="8" t="str">
        <f>+42.331960°</f>
        <v>#ERROR!</v>
      </c>
      <c r="E1232" s="7" t="s">
        <v>2133</v>
      </c>
    </row>
    <row r="1233">
      <c r="A1233" s="3" t="s">
        <v>2109</v>
      </c>
      <c r="B1233" s="4" t="s">
        <v>2105</v>
      </c>
      <c r="C1233" s="5">
        <v>798552.0</v>
      </c>
      <c r="D1233" s="8" t="str">
        <f>+42.311693°</f>
        <v>#ERROR!</v>
      </c>
      <c r="E1233" s="7" t="s">
        <v>2134</v>
      </c>
    </row>
    <row r="1234">
      <c r="A1234" s="3" t="s">
        <v>2135</v>
      </c>
      <c r="B1234" s="4" t="s">
        <v>2136</v>
      </c>
      <c r="C1234" s="5">
        <v>10942.0</v>
      </c>
      <c r="D1234" s="8" t="str">
        <f>+44.682535°</f>
        <v>#ERROR!</v>
      </c>
      <c r="E1234" s="7" t="s">
        <v>2137</v>
      </c>
    </row>
    <row r="1235">
      <c r="A1235" s="3" t="s">
        <v>2135</v>
      </c>
      <c r="B1235" s="4" t="s">
        <v>2138</v>
      </c>
      <c r="C1235" s="5">
        <v>9601.0</v>
      </c>
      <c r="D1235" s="8" t="str">
        <f>+47.080077°</f>
        <v>#ERROR!</v>
      </c>
      <c r="E1235" s="7" t="s">
        <v>2139</v>
      </c>
    </row>
    <row r="1236">
      <c r="A1236" s="3" t="s">
        <v>2135</v>
      </c>
      <c r="B1236" s="4" t="s">
        <v>2140</v>
      </c>
      <c r="C1236" s="5">
        <v>111408.0</v>
      </c>
      <c r="D1236" s="8" t="str">
        <f>+42.595788°</f>
        <v>#ERROR!</v>
      </c>
      <c r="E1236" s="7" t="s">
        <v>2141</v>
      </c>
    </row>
    <row r="1237">
      <c r="A1237" s="3" t="s">
        <v>2135</v>
      </c>
      <c r="B1237" s="4" t="s">
        <v>2142</v>
      </c>
      <c r="C1237" s="5">
        <v>29598.0</v>
      </c>
      <c r="D1237" s="8" t="str">
        <f>+44.894954°</f>
        <v>#ERROR!</v>
      </c>
      <c r="E1237" s="7" t="s">
        <v>2143</v>
      </c>
    </row>
    <row r="1238">
      <c r="A1238" s="3" t="s">
        <v>2135</v>
      </c>
      <c r="B1238" s="4" t="s">
        <v>2144</v>
      </c>
      <c r="C1238" s="5">
        <v>23580.0</v>
      </c>
      <c r="D1238" s="8" t="str">
        <f>+45.005457°</f>
        <v>#ERROR!</v>
      </c>
      <c r="E1238" s="7" t="s">
        <v>2145</v>
      </c>
    </row>
    <row r="1239">
      <c r="A1239" s="3" t="s">
        <v>2135</v>
      </c>
      <c r="B1239" s="4" t="s">
        <v>2146</v>
      </c>
      <c r="C1239" s="5">
        <v>15899.0</v>
      </c>
      <c r="D1239" s="8" t="str">
        <f>+44.036870°</f>
        <v>#ERROR!</v>
      </c>
      <c r="E1239" s="7" t="s">
        <v>2147</v>
      </c>
    </row>
    <row r="1240">
      <c r="A1240" s="3" t="s">
        <v>2135</v>
      </c>
      <c r="B1240" s="4" t="s">
        <v>2148</v>
      </c>
      <c r="C1240" s="5">
        <v>8860.0</v>
      </c>
      <c r="D1240" s="8" t="str">
        <f>+46.696068°</f>
        <v>#ERROR!</v>
      </c>
      <c r="E1240" s="7" t="s">
        <v>2149</v>
      </c>
    </row>
    <row r="1241">
      <c r="A1241" s="3" t="s">
        <v>2135</v>
      </c>
      <c r="B1241" s="4" t="s">
        <v>2150</v>
      </c>
      <c r="C1241" s="5">
        <v>59173.0</v>
      </c>
      <c r="D1241" s="8" t="str">
        <f>+42.582811°</f>
        <v>#ERROR!</v>
      </c>
      <c r="E1241" s="7" t="s">
        <v>2151</v>
      </c>
    </row>
    <row r="1242">
      <c r="A1242" s="3" t="s">
        <v>2135</v>
      </c>
      <c r="B1242" s="4" t="s">
        <v>673</v>
      </c>
      <c r="C1242" s="5">
        <v>107771.0</v>
      </c>
      <c r="D1242" s="8" t="str">
        <f>+43.699711°</f>
        <v>#ERROR!</v>
      </c>
      <c r="E1242" s="7" t="s">
        <v>2152</v>
      </c>
    </row>
    <row r="1243">
      <c r="A1243" s="3" t="s">
        <v>2135</v>
      </c>
      <c r="B1243" s="4" t="s">
        <v>2153</v>
      </c>
      <c r="C1243" s="5">
        <v>17525.0</v>
      </c>
      <c r="D1243" s="8" t="str">
        <f>+44.648621°</f>
        <v>#ERROR!</v>
      </c>
      <c r="E1243" s="7" t="s">
        <v>2154</v>
      </c>
    </row>
    <row r="1244">
      <c r="A1244" s="3" t="s">
        <v>2135</v>
      </c>
      <c r="B1244" s="4" t="s">
        <v>802</v>
      </c>
      <c r="C1244" s="5">
        <v>156813.0</v>
      </c>
      <c r="D1244" s="8" t="str">
        <f>+41.792639°</f>
        <v>#ERROR!</v>
      </c>
      <c r="E1244" s="7" t="s">
        <v>2155</v>
      </c>
    </row>
    <row r="1245">
      <c r="A1245" s="3" t="s">
        <v>2135</v>
      </c>
      <c r="B1245" s="4" t="s">
        <v>2156</v>
      </c>
      <c r="C1245" s="5">
        <v>45248.0</v>
      </c>
      <c r="D1245" s="8" t="str">
        <f>+41.918585°</f>
        <v>#ERROR!</v>
      </c>
      <c r="E1245" s="7" t="s">
        <v>2157</v>
      </c>
    </row>
    <row r="1246">
      <c r="A1246" s="3" t="s">
        <v>2135</v>
      </c>
      <c r="B1246" s="4" t="s">
        <v>27</v>
      </c>
      <c r="C1246" s="5">
        <v>136146.0</v>
      </c>
      <c r="D1246" s="8" t="str">
        <f>+42.242990°</f>
        <v>#ERROR!</v>
      </c>
      <c r="E1246" s="7" t="s">
        <v>2158</v>
      </c>
    </row>
    <row r="1247">
      <c r="A1247" s="3" t="s">
        <v>2135</v>
      </c>
      <c r="B1247" s="4" t="s">
        <v>1156</v>
      </c>
      <c r="C1247" s="5">
        <v>52293.0</v>
      </c>
      <c r="D1247" s="8" t="str">
        <f>+41.916240°</f>
        <v>#ERROR!</v>
      </c>
      <c r="E1247" s="7" t="s">
        <v>2159</v>
      </c>
    </row>
    <row r="1248">
      <c r="A1248" s="3" t="s">
        <v>2135</v>
      </c>
      <c r="B1248" s="4" t="s">
        <v>2160</v>
      </c>
      <c r="C1248" s="5">
        <v>25949.0</v>
      </c>
      <c r="D1248" s="8" t="str">
        <f>+45.513164°</f>
        <v>#ERROR!</v>
      </c>
      <c r="E1248" s="7" t="s">
        <v>2161</v>
      </c>
    </row>
    <row r="1249">
      <c r="A1249" s="3" t="s">
        <v>2135</v>
      </c>
      <c r="B1249" s="4" t="s">
        <v>2162</v>
      </c>
      <c r="C1249" s="5">
        <v>26152.0</v>
      </c>
      <c r="D1249" s="8" t="str">
        <f>+45.476120°</f>
        <v>#ERROR!</v>
      </c>
      <c r="E1249" s="7" t="s">
        <v>2163</v>
      </c>
    </row>
    <row r="1250">
      <c r="A1250" s="3" t="s">
        <v>2135</v>
      </c>
      <c r="B1250" s="4" t="s">
        <v>2164</v>
      </c>
      <c r="C1250" s="5">
        <v>38520.0</v>
      </c>
      <c r="D1250" s="8" t="str">
        <f>+46.321819°</f>
        <v>#ERROR!</v>
      </c>
      <c r="E1250" s="7" t="s">
        <v>2165</v>
      </c>
    </row>
    <row r="1251">
      <c r="A1251" s="3" t="s">
        <v>2135</v>
      </c>
      <c r="B1251" s="4" t="s">
        <v>2166</v>
      </c>
      <c r="C1251" s="5">
        <v>30926.0</v>
      </c>
      <c r="D1251" s="8" t="str">
        <f>+43.991137°</f>
        <v>#ERROR!</v>
      </c>
      <c r="E1251" s="7" t="s">
        <v>2167</v>
      </c>
    </row>
    <row r="1252">
      <c r="A1252" s="3" t="s">
        <v>2135</v>
      </c>
      <c r="B1252" s="4" t="s">
        <v>1164</v>
      </c>
      <c r="C1252" s="5">
        <v>75382.0</v>
      </c>
      <c r="D1252" s="8" t="str">
        <f>+42.950455°</f>
        <v>#ERROR!</v>
      </c>
      <c r="E1252" s="7" t="s">
        <v>2168</v>
      </c>
    </row>
    <row r="1253">
      <c r="A1253" s="3" t="s">
        <v>2135</v>
      </c>
      <c r="B1253" s="4" t="s">
        <v>303</v>
      </c>
      <c r="C1253" s="5">
        <v>14074.0</v>
      </c>
      <c r="D1253" s="8" t="str">
        <f>+44.680208°</f>
        <v>#ERROR!</v>
      </c>
      <c r="E1253" s="7" t="s">
        <v>2169</v>
      </c>
    </row>
    <row r="1254">
      <c r="A1254" s="3" t="s">
        <v>2135</v>
      </c>
      <c r="B1254" s="4" t="s">
        <v>552</v>
      </c>
      <c r="C1254" s="5">
        <v>37069.0</v>
      </c>
      <c r="D1254" s="8" t="str">
        <f>+45.805101°</f>
        <v>#ERROR!</v>
      </c>
      <c r="E1254" s="7" t="s">
        <v>2170</v>
      </c>
    </row>
    <row r="1255">
      <c r="A1255" s="3" t="s">
        <v>2135</v>
      </c>
      <c r="B1255" s="4" t="s">
        <v>1477</v>
      </c>
      <c r="C1255" s="5">
        <v>26168.0</v>
      </c>
      <c r="D1255" s="8" t="str">
        <f>+46.012823°</f>
        <v>#ERROR!</v>
      </c>
      <c r="E1255" s="7" t="s">
        <v>2171</v>
      </c>
    </row>
    <row r="1256">
      <c r="A1256" s="3" t="s">
        <v>2135</v>
      </c>
      <c r="B1256" s="4" t="s">
        <v>2172</v>
      </c>
      <c r="C1256" s="5">
        <v>107759.0</v>
      </c>
      <c r="D1256" s="8" t="str">
        <f>+42.589614°</f>
        <v>#ERROR!</v>
      </c>
      <c r="E1256" s="7" t="s">
        <v>2173</v>
      </c>
    </row>
    <row r="1257">
      <c r="A1257" s="3" t="s">
        <v>2135</v>
      </c>
      <c r="B1257" s="4" t="s">
        <v>1481</v>
      </c>
      <c r="C1257" s="5">
        <v>32694.0</v>
      </c>
      <c r="D1257" s="8" t="str">
        <f>+45.590094°</f>
        <v>#ERROR!</v>
      </c>
      <c r="E1257" s="7" t="s">
        <v>2174</v>
      </c>
    </row>
    <row r="1258">
      <c r="A1258" s="3" t="s">
        <v>2135</v>
      </c>
      <c r="B1258" s="4" t="s">
        <v>2175</v>
      </c>
      <c r="C1258" s="5">
        <v>425790.0</v>
      </c>
      <c r="D1258" s="8" t="str">
        <f>+43.021077°</f>
        <v>#ERROR!</v>
      </c>
      <c r="E1258" s="7" t="s">
        <v>2176</v>
      </c>
    </row>
    <row r="1259">
      <c r="A1259" s="3" t="s">
        <v>2135</v>
      </c>
      <c r="B1259" s="4" t="s">
        <v>2177</v>
      </c>
      <c r="C1259" s="5">
        <v>25692.0</v>
      </c>
      <c r="D1259" s="8" t="str">
        <f>+43.989750°</f>
        <v>#ERROR!</v>
      </c>
      <c r="E1259" s="7" t="s">
        <v>2178</v>
      </c>
    </row>
    <row r="1260">
      <c r="A1260" s="3" t="s">
        <v>2135</v>
      </c>
      <c r="B1260" s="4" t="s">
        <v>2179</v>
      </c>
      <c r="C1260" s="5">
        <v>16427.0</v>
      </c>
      <c r="D1260" s="8" t="str">
        <f>+46.488054°</f>
        <v>#ERROR!</v>
      </c>
      <c r="E1260" s="7" t="s">
        <v>2180</v>
      </c>
    </row>
    <row r="1261">
      <c r="A1261" s="3" t="s">
        <v>2135</v>
      </c>
      <c r="B1261" s="4" t="s">
        <v>2181</v>
      </c>
      <c r="C1261" s="5">
        <v>86986.0</v>
      </c>
      <c r="D1261" s="8" t="str">
        <f>+44.718688°</f>
        <v>#ERROR!</v>
      </c>
      <c r="E1261" s="7" t="s">
        <v>2182</v>
      </c>
    </row>
    <row r="1262">
      <c r="A1262" s="3" t="s">
        <v>2135</v>
      </c>
      <c r="B1262" s="4" t="s">
        <v>2183</v>
      </c>
      <c r="C1262" s="5">
        <v>42476.0</v>
      </c>
      <c r="D1262" s="8" t="str">
        <f>+43.292326°</f>
        <v>#ERROR!</v>
      </c>
      <c r="E1262" s="7" t="s">
        <v>2184</v>
      </c>
    </row>
    <row r="1263">
      <c r="A1263" s="3" t="s">
        <v>2135</v>
      </c>
      <c r="B1263" s="4" t="s">
        <v>2185</v>
      </c>
      <c r="C1263" s="5">
        <v>46688.0</v>
      </c>
      <c r="D1263" s="8" t="str">
        <f>+41.864475°</f>
        <v>#ERROR!</v>
      </c>
      <c r="E1263" s="7" t="s">
        <v>2186</v>
      </c>
    </row>
    <row r="1264">
      <c r="A1264" s="3" t="s">
        <v>2135</v>
      </c>
      <c r="B1264" s="4" t="s">
        <v>2187</v>
      </c>
      <c r="C1264" s="5">
        <v>36628.0</v>
      </c>
      <c r="D1264" s="8" t="str">
        <f>+46.998305°</f>
        <v>#ERROR!</v>
      </c>
      <c r="E1264" s="7" t="s">
        <v>2188</v>
      </c>
    </row>
    <row r="1265">
      <c r="A1265" s="3" t="s">
        <v>2135</v>
      </c>
      <c r="B1265" s="4" t="s">
        <v>2189</v>
      </c>
      <c r="C1265" s="5">
        <v>33118.0</v>
      </c>
      <c r="D1265" s="8" t="str">
        <f>+43.907616°</f>
        <v>#ERROR!</v>
      </c>
      <c r="E1265" s="7" t="s">
        <v>2190</v>
      </c>
    </row>
    <row r="1266">
      <c r="A1266" s="3" t="s">
        <v>2135</v>
      </c>
      <c r="B1266" s="4" t="s">
        <v>2191</v>
      </c>
      <c r="C1266" s="5">
        <v>280895.0</v>
      </c>
      <c r="D1266" s="8" t="str">
        <f>+42.603534°</f>
        <v>#ERROR!</v>
      </c>
      <c r="E1266" s="7" t="s">
        <v>2192</v>
      </c>
    </row>
    <row r="1267">
      <c r="A1267" s="3" t="s">
        <v>2135</v>
      </c>
      <c r="B1267" s="4" t="s">
        <v>2193</v>
      </c>
      <c r="C1267" s="5">
        <v>63905.0</v>
      </c>
      <c r="D1267" s="8" t="str">
        <f>+42.944650°</f>
        <v>#ERROR!</v>
      </c>
      <c r="E1267" s="7" t="s">
        <v>2194</v>
      </c>
    </row>
    <row r="1268">
      <c r="A1268" s="3" t="s">
        <v>2135</v>
      </c>
      <c r="B1268" s="4" t="s">
        <v>2195</v>
      </c>
      <c r="C1268" s="5">
        <v>25887.0</v>
      </c>
      <c r="D1268" s="8" t="str">
        <f>+44.329482°</f>
        <v>#ERROR!</v>
      </c>
      <c r="E1268" s="7" t="s">
        <v>2196</v>
      </c>
    </row>
    <row r="1269">
      <c r="A1269" s="3" t="s">
        <v>2135</v>
      </c>
      <c r="B1269" s="4" t="s">
        <v>2197</v>
      </c>
      <c r="C1269" s="5">
        <v>11817.0</v>
      </c>
      <c r="D1269" s="8" t="str">
        <f>+46.170249°</f>
        <v>#ERROR!</v>
      </c>
      <c r="E1269" s="7" t="s">
        <v>2198</v>
      </c>
    </row>
    <row r="1270">
      <c r="A1270" s="3" t="s">
        <v>2135</v>
      </c>
      <c r="B1270" s="4" t="s">
        <v>2199</v>
      </c>
      <c r="C1270" s="5">
        <v>70311.0</v>
      </c>
      <c r="D1270" s="8" t="str">
        <f>+43.645233°</f>
        <v>#ERROR!</v>
      </c>
      <c r="E1270" s="7" t="s">
        <v>2200</v>
      </c>
    </row>
    <row r="1271">
      <c r="A1271" s="3" t="s">
        <v>2135</v>
      </c>
      <c r="B1271" s="4" t="s">
        <v>108</v>
      </c>
      <c r="C1271" s="5">
        <v>160248.0</v>
      </c>
      <c r="D1271" s="8" t="str">
        <f>+42.248474°</f>
        <v>#ERROR!</v>
      </c>
      <c r="E1271" s="7" t="s">
        <v>2201</v>
      </c>
    </row>
    <row r="1272">
      <c r="A1272" s="3" t="s">
        <v>2135</v>
      </c>
      <c r="B1272" s="4" t="s">
        <v>2202</v>
      </c>
      <c r="C1272" s="5">
        <v>250331.0</v>
      </c>
      <c r="D1272" s="8" t="str">
        <f>+42.246266°</f>
        <v>#ERROR!</v>
      </c>
      <c r="E1272" s="7" t="s">
        <v>2203</v>
      </c>
    </row>
    <row r="1273">
      <c r="A1273" s="3" t="s">
        <v>2135</v>
      </c>
      <c r="B1273" s="4" t="s">
        <v>2204</v>
      </c>
      <c r="C1273" s="5">
        <v>17153.0</v>
      </c>
      <c r="D1273" s="8" t="str">
        <f>+44.678881°</f>
        <v>#ERROR!</v>
      </c>
      <c r="E1273" s="7" t="s">
        <v>2205</v>
      </c>
    </row>
    <row r="1274">
      <c r="A1274" s="3" t="s">
        <v>2135</v>
      </c>
      <c r="B1274" s="4" t="s">
        <v>659</v>
      </c>
      <c r="C1274" s="5">
        <v>602622.0</v>
      </c>
      <c r="D1274" s="8" t="str">
        <f>+43.032497°</f>
        <v>#ERROR!</v>
      </c>
      <c r="E1274" s="7" t="s">
        <v>2206</v>
      </c>
    </row>
    <row r="1275">
      <c r="A1275" s="3" t="s">
        <v>2135</v>
      </c>
      <c r="B1275" s="4" t="s">
        <v>2207</v>
      </c>
      <c r="C1275" s="5">
        <v>2156.0</v>
      </c>
      <c r="D1275" s="8" t="str">
        <f>+47.681981°</f>
        <v>#ERROR!</v>
      </c>
      <c r="E1275" s="7" t="s">
        <v>2208</v>
      </c>
    </row>
    <row r="1276">
      <c r="A1276" s="3" t="s">
        <v>2135</v>
      </c>
      <c r="B1276" s="4" t="s">
        <v>439</v>
      </c>
      <c r="C1276" s="5">
        <v>11539.0</v>
      </c>
      <c r="D1276" s="8" t="str">
        <f>+43.995187°</f>
        <v>#ERROR!</v>
      </c>
      <c r="E1276" s="7" t="s">
        <v>2209</v>
      </c>
    </row>
    <row r="1277">
      <c r="A1277" s="3" t="s">
        <v>2135</v>
      </c>
      <c r="B1277" s="4" t="s">
        <v>2210</v>
      </c>
      <c r="C1277" s="5">
        <v>88319.0</v>
      </c>
      <c r="D1277" s="8" t="str">
        <f>+43.088633°</f>
        <v>#ERROR!</v>
      </c>
      <c r="E1277" s="7" t="s">
        <v>2211</v>
      </c>
    </row>
    <row r="1278">
      <c r="A1278" s="3" t="s">
        <v>2135</v>
      </c>
      <c r="B1278" s="4" t="s">
        <v>2212</v>
      </c>
      <c r="C1278" s="5">
        <v>21708.0</v>
      </c>
      <c r="D1278" s="8" t="str">
        <f>+45.146182°</f>
        <v>#ERROR!</v>
      </c>
      <c r="E1278" s="7" t="s">
        <v>2213</v>
      </c>
    </row>
    <row r="1279">
      <c r="A1279" s="3" t="s">
        <v>2135</v>
      </c>
      <c r="B1279" s="4" t="s">
        <v>2214</v>
      </c>
      <c r="C1279" s="5">
        <v>99892.0</v>
      </c>
      <c r="D1279" s="8" t="str">
        <f>+41.895915°</f>
        <v>#ERROR!</v>
      </c>
      <c r="E1279" s="7" t="s">
        <v>2215</v>
      </c>
    </row>
    <row r="1280">
      <c r="A1280" s="3" t="s">
        <v>2135</v>
      </c>
      <c r="B1280" s="4" t="s">
        <v>1223</v>
      </c>
      <c r="C1280" s="5">
        <v>180967.0</v>
      </c>
      <c r="D1280" s="8" t="str">
        <f>+42.602532°</f>
        <v>#ERROR!</v>
      </c>
      <c r="E1280" s="7" t="s">
        <v>2216</v>
      </c>
    </row>
    <row r="1281">
      <c r="A1281" s="3" t="s">
        <v>2135</v>
      </c>
      <c r="B1281" s="4" t="s">
        <v>2217</v>
      </c>
      <c r="C1281" s="5">
        <v>6631.0</v>
      </c>
      <c r="D1281" s="8" t="str">
        <f>+46.940602°</f>
        <v>#ERROR!</v>
      </c>
      <c r="E1281" s="7" t="s">
        <v>2218</v>
      </c>
    </row>
    <row r="1282">
      <c r="A1282" s="3" t="s">
        <v>2135</v>
      </c>
      <c r="B1282" s="4" t="s">
        <v>2219</v>
      </c>
      <c r="C1282" s="5">
        <v>11113.0</v>
      </c>
      <c r="D1282" s="8" t="str">
        <f>+46.167981°</f>
        <v>#ERROR!</v>
      </c>
      <c r="E1282" s="7" t="s">
        <v>2220</v>
      </c>
    </row>
    <row r="1283">
      <c r="A1283" s="3" t="s">
        <v>2135</v>
      </c>
      <c r="B1283" s="4" t="s">
        <v>2221</v>
      </c>
      <c r="C1283" s="5">
        <v>840978.0</v>
      </c>
      <c r="D1283" s="8" t="str">
        <f>+42.671467°</f>
        <v>#ERROR!</v>
      </c>
      <c r="E1283" s="7" t="s">
        <v>2222</v>
      </c>
    </row>
    <row r="1284">
      <c r="A1284" s="3" t="s">
        <v>2135</v>
      </c>
      <c r="B1284" s="4" t="s">
        <v>2223</v>
      </c>
      <c r="C1284" s="5">
        <v>24733.0</v>
      </c>
      <c r="D1284" s="8" t="str">
        <f>+44.350385°</f>
        <v>#ERROR!</v>
      </c>
      <c r="E1284" s="7" t="s">
        <v>2224</v>
      </c>
    </row>
    <row r="1285">
      <c r="A1285" s="3" t="s">
        <v>2135</v>
      </c>
      <c r="B1285" s="4" t="s">
        <v>2225</v>
      </c>
      <c r="C1285" s="5">
        <v>67077.0</v>
      </c>
      <c r="D1285" s="8" t="str">
        <f>+46.656597°</f>
        <v>#ERROR!</v>
      </c>
      <c r="E1285" s="7" t="s">
        <v>2226</v>
      </c>
    </row>
    <row r="1286">
      <c r="A1286" s="3" t="s">
        <v>2135</v>
      </c>
      <c r="B1286" s="4" t="s">
        <v>1238</v>
      </c>
      <c r="C1286" s="5">
        <v>28705.0</v>
      </c>
      <c r="D1286" s="8" t="str">
        <f>+43.996636°</f>
        <v>#ERROR!</v>
      </c>
      <c r="E1286" s="7" t="s">
        <v>2227</v>
      </c>
    </row>
    <row r="1287">
      <c r="A1287" s="3" t="s">
        <v>2135</v>
      </c>
      <c r="B1287" s="4" t="s">
        <v>2228</v>
      </c>
      <c r="C1287" s="5">
        <v>42798.0</v>
      </c>
      <c r="D1287" s="8" t="str">
        <f>+43.635295°</f>
        <v>#ERROR!</v>
      </c>
      <c r="E1287" s="7" t="s">
        <v>2229</v>
      </c>
    </row>
    <row r="1288">
      <c r="A1288" s="3" t="s">
        <v>2135</v>
      </c>
      <c r="B1288" s="4" t="s">
        <v>2230</v>
      </c>
      <c r="C1288" s="5">
        <v>24029.0</v>
      </c>
      <c r="D1288" s="8" t="str">
        <f>+45.544174°</f>
        <v>#ERROR!</v>
      </c>
      <c r="E1288" s="7" t="s">
        <v>2231</v>
      </c>
    </row>
    <row r="1289">
      <c r="A1289" s="3" t="s">
        <v>2135</v>
      </c>
      <c r="B1289" s="4" t="s">
        <v>2232</v>
      </c>
      <c r="C1289" s="5">
        <v>83629.0</v>
      </c>
      <c r="D1289" s="8" t="str">
        <f>+43.648378°</f>
        <v>#ERROR!</v>
      </c>
      <c r="E1289" s="7" t="s">
        <v>2233</v>
      </c>
    </row>
    <row r="1290">
      <c r="A1290" s="3" t="s">
        <v>2135</v>
      </c>
      <c r="B1290" s="4" t="s">
        <v>2234</v>
      </c>
      <c r="C1290" s="5">
        <v>14849.0</v>
      </c>
      <c r="D1290" s="8" t="str">
        <f>+44.325424°</f>
        <v>#ERROR!</v>
      </c>
      <c r="E1290" s="7" t="s">
        <v>2235</v>
      </c>
    </row>
    <row r="1291">
      <c r="A1291" s="3" t="s">
        <v>2135</v>
      </c>
      <c r="B1291" s="4" t="s">
        <v>147</v>
      </c>
      <c r="C1291" s="5">
        <v>152021.0</v>
      </c>
      <c r="D1291" s="8" t="str">
        <f>+41.916097°</f>
        <v>#ERROR!</v>
      </c>
      <c r="E1291" s="7" t="s">
        <v>2236</v>
      </c>
    </row>
    <row r="1292">
      <c r="A1292" s="3" t="s">
        <v>2135</v>
      </c>
      <c r="B1292" s="4" t="s">
        <v>2237</v>
      </c>
      <c r="C1292" s="5">
        <v>63342.0</v>
      </c>
      <c r="D1292" s="8" t="str">
        <f>+43.312782°</f>
        <v>#ERROR!</v>
      </c>
      <c r="E1292" s="7" t="s">
        <v>2238</v>
      </c>
    </row>
    <row r="1293">
      <c r="A1293" s="3" t="s">
        <v>2135</v>
      </c>
      <c r="B1293" s="4" t="s">
        <v>2239</v>
      </c>
      <c r="C1293" s="5">
        <v>9765.0</v>
      </c>
      <c r="D1293" s="8" t="str">
        <f>+45.024134°</f>
        <v>#ERROR!</v>
      </c>
      <c r="E1293" s="7" t="s">
        <v>2240</v>
      </c>
    </row>
    <row r="1294">
      <c r="A1294" s="3" t="s">
        <v>2135</v>
      </c>
      <c r="B1294" s="4" t="s">
        <v>2241</v>
      </c>
      <c r="C1294" s="5">
        <v>172188.0</v>
      </c>
      <c r="D1294" s="8" t="str">
        <f>+43.289258°</f>
        <v>#ERROR!</v>
      </c>
      <c r="E1294" s="7" t="s">
        <v>2242</v>
      </c>
    </row>
    <row r="1295">
      <c r="A1295" s="3" t="s">
        <v>2135</v>
      </c>
      <c r="B1295" s="4" t="s">
        <v>2243</v>
      </c>
      <c r="C1295" s="5">
        <v>48460.0</v>
      </c>
      <c r="D1295" s="8" t="str">
        <f>+43.562709°</f>
        <v>#ERROR!</v>
      </c>
      <c r="E1295" s="7" t="s">
        <v>2244</v>
      </c>
    </row>
    <row r="1296">
      <c r="A1296" s="3" t="s">
        <v>2135</v>
      </c>
      <c r="B1296" s="4" t="s">
        <v>2245</v>
      </c>
      <c r="C1296" s="5">
        <v>1202362.0</v>
      </c>
      <c r="D1296" s="8" t="str">
        <f>+42.660452°</f>
        <v>#ERROR!</v>
      </c>
      <c r="E1296" s="7" t="s">
        <v>2246</v>
      </c>
    </row>
    <row r="1297">
      <c r="A1297" s="3" t="s">
        <v>2135</v>
      </c>
      <c r="B1297" s="4" t="s">
        <v>2247</v>
      </c>
      <c r="C1297" s="5">
        <v>26570.0</v>
      </c>
      <c r="D1297" s="8" t="str">
        <f>+43.647255°</f>
        <v>#ERROR!</v>
      </c>
      <c r="E1297" s="7" t="s">
        <v>2248</v>
      </c>
    </row>
    <row r="1298">
      <c r="A1298" s="3" t="s">
        <v>2135</v>
      </c>
      <c r="B1298" s="4" t="s">
        <v>2249</v>
      </c>
      <c r="C1298" s="5">
        <v>21699.0</v>
      </c>
      <c r="D1298" s="8" t="str">
        <f>+44.333280°</f>
        <v>#ERROR!</v>
      </c>
      <c r="E1298" s="7" t="s">
        <v>2250</v>
      </c>
    </row>
    <row r="1299">
      <c r="A1299" s="3" t="s">
        <v>2135</v>
      </c>
      <c r="B1299" s="4" t="s">
        <v>2251</v>
      </c>
      <c r="C1299" s="5">
        <v>6780.0</v>
      </c>
      <c r="D1299" s="8" t="str">
        <f>+47.216604°</f>
        <v>#ERROR!</v>
      </c>
      <c r="E1299" s="7" t="s">
        <v>2252</v>
      </c>
    </row>
    <row r="1300">
      <c r="A1300" s="3" t="s">
        <v>2135</v>
      </c>
      <c r="B1300" s="4" t="s">
        <v>751</v>
      </c>
      <c r="C1300" s="5">
        <v>23528.0</v>
      </c>
      <c r="D1300" s="8" t="str">
        <f>+43.997552°</f>
        <v>#ERROR!</v>
      </c>
      <c r="E1300" s="7" t="s">
        <v>2253</v>
      </c>
    </row>
    <row r="1301">
      <c r="A1301" s="3" t="s">
        <v>2135</v>
      </c>
      <c r="B1301" s="4" t="s">
        <v>2254</v>
      </c>
      <c r="C1301" s="5">
        <v>8640.0</v>
      </c>
      <c r="D1301" s="8" t="str">
        <f>+44.685121°</f>
        <v>#ERROR!</v>
      </c>
      <c r="E1301" s="7" t="s">
        <v>2255</v>
      </c>
    </row>
    <row r="1302">
      <c r="A1302" s="3" t="s">
        <v>2135</v>
      </c>
      <c r="B1302" s="4" t="s">
        <v>2256</v>
      </c>
      <c r="C1302" s="5">
        <v>24164.0</v>
      </c>
      <c r="D1302" s="8" t="str">
        <f>+45.021794°</f>
        <v>#ERROR!</v>
      </c>
      <c r="E1302" s="7" t="s">
        <v>2257</v>
      </c>
    </row>
    <row r="1303">
      <c r="A1303" s="3" t="s">
        <v>2135</v>
      </c>
      <c r="B1303" s="4" t="s">
        <v>1692</v>
      </c>
      <c r="C1303" s="5">
        <v>263801.0</v>
      </c>
      <c r="D1303" s="8" t="str">
        <f>+42.942346°</f>
        <v>#ERROR!</v>
      </c>
      <c r="E1303" s="7" t="s">
        <v>2258</v>
      </c>
    </row>
    <row r="1304">
      <c r="A1304" s="3" t="s">
        <v>2135</v>
      </c>
      <c r="B1304" s="4" t="s">
        <v>2259</v>
      </c>
      <c r="C1304" s="5">
        <v>13376.0</v>
      </c>
      <c r="D1304" s="8" t="str">
        <f>+45.489515°</f>
        <v>#ERROR!</v>
      </c>
      <c r="E1304" s="7" t="s">
        <v>2260</v>
      </c>
    </row>
    <row r="1305">
      <c r="A1305" s="3" t="s">
        <v>2135</v>
      </c>
      <c r="B1305" s="4" t="s">
        <v>2261</v>
      </c>
      <c r="C1305" s="5">
        <v>24449.0</v>
      </c>
      <c r="D1305" s="8" t="str">
        <f>+44.339517°</f>
        <v>#ERROR!</v>
      </c>
      <c r="E1305" s="7" t="s">
        <v>2262</v>
      </c>
    </row>
    <row r="1306">
      <c r="A1306" s="3" t="s">
        <v>2135</v>
      </c>
      <c r="B1306" s="4" t="s">
        <v>2263</v>
      </c>
      <c r="C1306" s="5">
        <v>200169.0</v>
      </c>
      <c r="D1306" s="8" t="str">
        <f>+43.328267°</f>
        <v>#ERROR!</v>
      </c>
      <c r="E1306" s="7" t="s">
        <v>2264</v>
      </c>
    </row>
    <row r="1307">
      <c r="A1307" s="3" t="s">
        <v>2135</v>
      </c>
      <c r="B1307" s="4" t="s">
        <v>163</v>
      </c>
      <c r="C1307" s="5">
        <v>163040.0</v>
      </c>
      <c r="D1307" s="8" t="str">
        <f>+42.928804°</f>
        <v>#ERROR!</v>
      </c>
      <c r="E1307" s="7" t="s">
        <v>2265</v>
      </c>
    </row>
    <row r="1308">
      <c r="A1308" s="3" t="s">
        <v>2135</v>
      </c>
      <c r="B1308" s="4" t="s">
        <v>1398</v>
      </c>
      <c r="C1308" s="5">
        <v>61295.0</v>
      </c>
      <c r="D1308" s="8" t="str">
        <f>+41.911488°</f>
        <v>#ERROR!</v>
      </c>
      <c r="E1308" s="7" t="s">
        <v>2266</v>
      </c>
    </row>
    <row r="1309">
      <c r="A1309" s="3" t="s">
        <v>2135</v>
      </c>
      <c r="B1309" s="4" t="s">
        <v>2267</v>
      </c>
      <c r="C1309" s="5">
        <v>43114.0</v>
      </c>
      <c r="D1309" s="8" t="str">
        <f>+43.449155°</f>
        <v>#ERROR!</v>
      </c>
      <c r="E1309" s="7" t="s">
        <v>2268</v>
      </c>
    </row>
    <row r="1310">
      <c r="A1310" s="3" t="s">
        <v>2135</v>
      </c>
      <c r="B1310" s="4" t="s">
        <v>2269</v>
      </c>
      <c r="C1310" s="5">
        <v>8485.0</v>
      </c>
      <c r="D1310" s="8" t="str">
        <f>+46.020758°</f>
        <v>#ERROR!</v>
      </c>
      <c r="E1310" s="7" t="s">
        <v>2270</v>
      </c>
    </row>
    <row r="1311">
      <c r="A1311" s="3" t="s">
        <v>2135</v>
      </c>
      <c r="B1311" s="4" t="s">
        <v>2271</v>
      </c>
      <c r="C1311" s="5">
        <v>70648.0</v>
      </c>
      <c r="D1311" s="8" t="str">
        <f>+42.951545°</f>
        <v>#ERROR!</v>
      </c>
      <c r="E1311" s="7" t="s">
        <v>2272</v>
      </c>
    </row>
    <row r="1312">
      <c r="A1312" s="3" t="s">
        <v>2135</v>
      </c>
      <c r="B1312" s="4" t="s">
        <v>2273</v>
      </c>
      <c r="C1312" s="5">
        <v>55729.0</v>
      </c>
      <c r="D1312" s="8" t="str">
        <f>+43.487902°</f>
        <v>#ERROR!</v>
      </c>
      <c r="E1312" s="7" t="s">
        <v>2274</v>
      </c>
    </row>
    <row r="1313">
      <c r="A1313" s="3" t="s">
        <v>2135</v>
      </c>
      <c r="B1313" s="4" t="s">
        <v>397</v>
      </c>
      <c r="C1313" s="5">
        <v>76258.0</v>
      </c>
      <c r="D1313" s="8" t="str">
        <f>+42.283986°</f>
        <v>#ERROR!</v>
      </c>
      <c r="E1313" s="7" t="s">
        <v>2275</v>
      </c>
    </row>
    <row r="1314">
      <c r="A1314" s="3" t="s">
        <v>2135</v>
      </c>
      <c r="B1314" s="4" t="s">
        <v>2276</v>
      </c>
      <c r="C1314" s="5">
        <v>344791.0</v>
      </c>
      <c r="D1314" s="8" t="str">
        <f>+42.252327°</f>
        <v>#ERROR!</v>
      </c>
      <c r="E1314" s="7" t="s">
        <v>2277</v>
      </c>
    </row>
    <row r="1315">
      <c r="A1315" s="3" t="s">
        <v>2135</v>
      </c>
      <c r="B1315" s="4" t="s">
        <v>1038</v>
      </c>
      <c r="C1315" s="5">
        <v>1820584.0</v>
      </c>
      <c r="D1315" s="8" t="str">
        <f>+42.284664°</f>
        <v>#ERROR!</v>
      </c>
      <c r="E1315" s="7" t="s">
        <v>2278</v>
      </c>
    </row>
    <row r="1316">
      <c r="A1316" s="3" t="s">
        <v>2135</v>
      </c>
      <c r="B1316" s="4" t="s">
        <v>2279</v>
      </c>
      <c r="C1316" s="5">
        <v>32735.0</v>
      </c>
      <c r="D1316" s="8" t="str">
        <f>+44.331375°</f>
        <v>#ERROR!</v>
      </c>
      <c r="E1316" s="7" t="s">
        <v>2280</v>
      </c>
    </row>
    <row r="1317">
      <c r="A1317" s="3" t="s">
        <v>2281</v>
      </c>
      <c r="B1317" s="4" t="s">
        <v>2282</v>
      </c>
      <c r="C1317" s="5">
        <v>16202.0</v>
      </c>
      <c r="D1317" s="8" t="str">
        <f>+46.602446°</f>
        <v>#ERROR!</v>
      </c>
      <c r="E1317" s="7" t="s">
        <v>2283</v>
      </c>
    </row>
    <row r="1318">
      <c r="A1318" s="3" t="s">
        <v>2281</v>
      </c>
      <c r="B1318" s="4" t="s">
        <v>2284</v>
      </c>
      <c r="C1318" s="5">
        <v>330844.0</v>
      </c>
      <c r="D1318" s="8" t="str">
        <f>+45.274110°</f>
        <v>#ERROR!</v>
      </c>
      <c r="E1318" s="7" t="s">
        <v>2285</v>
      </c>
    </row>
    <row r="1319">
      <c r="A1319" s="3" t="s">
        <v>2281</v>
      </c>
      <c r="B1319" s="4" t="s">
        <v>2286</v>
      </c>
      <c r="C1319" s="5">
        <v>32504.0</v>
      </c>
      <c r="D1319" s="8" t="str">
        <f>+46.937629°</f>
        <v>#ERROR!</v>
      </c>
      <c r="E1319" s="7" t="s">
        <v>2287</v>
      </c>
    </row>
    <row r="1320">
      <c r="A1320" s="3" t="s">
        <v>2281</v>
      </c>
      <c r="B1320" s="4" t="s">
        <v>2288</v>
      </c>
      <c r="C1320" s="5">
        <v>44442.0</v>
      </c>
      <c r="D1320" s="8" t="str">
        <f>+47.878825°</f>
        <v>#ERROR!</v>
      </c>
      <c r="E1320" s="7" t="s">
        <v>2289</v>
      </c>
    </row>
    <row r="1321">
      <c r="A1321" s="3" t="s">
        <v>2281</v>
      </c>
      <c r="B1321" s="4" t="s">
        <v>280</v>
      </c>
      <c r="C1321" s="5">
        <v>38451.0</v>
      </c>
      <c r="D1321" s="8" t="str">
        <f>+45.701227°</f>
        <v>#ERROR!</v>
      </c>
      <c r="E1321" s="7" t="s">
        <v>2290</v>
      </c>
    </row>
    <row r="1322">
      <c r="A1322" s="3" t="s">
        <v>2281</v>
      </c>
      <c r="B1322" s="4" t="s">
        <v>2291</v>
      </c>
      <c r="C1322" s="5">
        <v>5269.0</v>
      </c>
      <c r="D1322" s="8" t="str">
        <f>+45.419925°</f>
        <v>#ERROR!</v>
      </c>
      <c r="E1322" s="7" t="s">
        <v>2292</v>
      </c>
    </row>
    <row r="1323">
      <c r="A1323" s="3" t="s">
        <v>2281</v>
      </c>
      <c r="B1323" s="4" t="s">
        <v>2293</v>
      </c>
      <c r="C1323" s="5">
        <v>64013.0</v>
      </c>
      <c r="D1323" s="8" t="str">
        <f>+44.038225°</f>
        <v>#ERROR!</v>
      </c>
      <c r="E1323" s="7" t="s">
        <v>2294</v>
      </c>
    </row>
    <row r="1324">
      <c r="A1324" s="3" t="s">
        <v>2281</v>
      </c>
      <c r="B1324" s="4" t="s">
        <v>1150</v>
      </c>
      <c r="C1324" s="5">
        <v>25893.0</v>
      </c>
      <c r="D1324" s="8" t="str">
        <f>+44.246542°</f>
        <v>#ERROR!</v>
      </c>
      <c r="E1324" s="7" t="s">
        <v>2295</v>
      </c>
    </row>
    <row r="1325">
      <c r="A1325" s="3" t="s">
        <v>2281</v>
      </c>
      <c r="B1325" s="4" t="s">
        <v>2296</v>
      </c>
      <c r="C1325" s="5">
        <v>35386.0</v>
      </c>
      <c r="D1325" s="8" t="str">
        <f>+46.603818°</f>
        <v>#ERROR!</v>
      </c>
      <c r="E1325" s="7" t="s">
        <v>2297</v>
      </c>
    </row>
    <row r="1326">
      <c r="A1326" s="3" t="s">
        <v>2281</v>
      </c>
      <c r="B1326" s="4" t="s">
        <v>2298</v>
      </c>
      <c r="C1326" s="5">
        <v>91042.0</v>
      </c>
      <c r="D1326" s="8" t="str">
        <f>+44.821381°</f>
        <v>#ERROR!</v>
      </c>
      <c r="E1326" s="7" t="s">
        <v>2299</v>
      </c>
    </row>
    <row r="1327">
      <c r="A1327" s="3" t="s">
        <v>2281</v>
      </c>
      <c r="B1327" s="4" t="s">
        <v>1156</v>
      </c>
      <c r="C1327" s="5">
        <v>28567.0</v>
      </c>
      <c r="D1327" s="8" t="str">
        <f>+46.951427°</f>
        <v>#ERROR!</v>
      </c>
      <c r="E1327" s="7" t="s">
        <v>2300</v>
      </c>
    </row>
    <row r="1328">
      <c r="A1328" s="3" t="s">
        <v>2281</v>
      </c>
      <c r="B1328" s="4" t="s">
        <v>2164</v>
      </c>
      <c r="C1328" s="5">
        <v>12441.0</v>
      </c>
      <c r="D1328" s="8" t="str">
        <f>+45.028625°</f>
        <v>#ERROR!</v>
      </c>
      <c r="E1328" s="7" t="s">
        <v>2301</v>
      </c>
    </row>
    <row r="1329">
      <c r="A1329" s="3" t="s">
        <v>2281</v>
      </c>
      <c r="B1329" s="4" t="s">
        <v>2302</v>
      </c>
      <c r="C1329" s="5">
        <v>53887.0</v>
      </c>
      <c r="D1329" s="8" t="str">
        <f>+45.505444°</f>
        <v>#ERROR!</v>
      </c>
      <c r="E1329" s="7" t="s">
        <v>2303</v>
      </c>
    </row>
    <row r="1330">
      <c r="A1330" s="3" t="s">
        <v>2281</v>
      </c>
      <c r="B1330" s="4" t="s">
        <v>42</v>
      </c>
      <c r="C1330" s="5">
        <v>58999.0</v>
      </c>
      <c r="D1330" s="8" t="str">
        <f>+46.898377°</f>
        <v>#ERROR!</v>
      </c>
      <c r="E1330" s="7" t="s">
        <v>2304</v>
      </c>
    </row>
    <row r="1331">
      <c r="A1331" s="3" t="s">
        <v>2281</v>
      </c>
      <c r="B1331" s="4" t="s">
        <v>1097</v>
      </c>
      <c r="C1331" s="5">
        <v>8695.0</v>
      </c>
      <c r="D1331" s="8" t="str">
        <f>+47.575873°</f>
        <v>#ERROR!</v>
      </c>
      <c r="E1331" s="7" t="s">
        <v>2305</v>
      </c>
    </row>
    <row r="1332">
      <c r="A1332" s="3" t="s">
        <v>2281</v>
      </c>
      <c r="B1332" s="4" t="s">
        <v>849</v>
      </c>
      <c r="C1332" s="5">
        <v>5176.0</v>
      </c>
      <c r="D1332" s="8" t="str">
        <f>+47.538571°</f>
        <v>#ERROR!</v>
      </c>
      <c r="E1332" s="7" t="s">
        <v>2306</v>
      </c>
    </row>
    <row r="1333">
      <c r="A1333" s="3" t="s">
        <v>2281</v>
      </c>
      <c r="B1333" s="4" t="s">
        <v>2307</v>
      </c>
      <c r="C1333" s="5">
        <v>11687.0</v>
      </c>
      <c r="D1333" s="8" t="str">
        <f>+44.010711°</f>
        <v>#ERROR!</v>
      </c>
      <c r="E1333" s="7" t="s">
        <v>2308</v>
      </c>
    </row>
    <row r="1334">
      <c r="A1334" s="3" t="s">
        <v>2281</v>
      </c>
      <c r="B1334" s="4" t="s">
        <v>2309</v>
      </c>
      <c r="C1334" s="5">
        <v>62500.0</v>
      </c>
      <c r="D1334" s="8" t="str">
        <f>+46.491114°</f>
        <v>#ERROR!</v>
      </c>
      <c r="E1334" s="7" t="s">
        <v>2310</v>
      </c>
    </row>
    <row r="1335">
      <c r="A1335" s="3" t="s">
        <v>2281</v>
      </c>
      <c r="B1335" s="4" t="s">
        <v>2311</v>
      </c>
      <c r="C1335" s="5">
        <v>398552.0</v>
      </c>
      <c r="D1335" s="8" t="str">
        <f>+44.670893°</f>
        <v>#ERROR!</v>
      </c>
      <c r="E1335" s="7" t="s">
        <v>2312</v>
      </c>
    </row>
    <row r="1336">
      <c r="A1336" s="3" t="s">
        <v>2281</v>
      </c>
      <c r="B1336" s="4" t="s">
        <v>863</v>
      </c>
      <c r="C1336" s="5">
        <v>20087.0</v>
      </c>
      <c r="D1336" s="8" t="str">
        <f>+44.020706°</f>
        <v>#ERROR!</v>
      </c>
      <c r="E1336" s="7" t="s">
        <v>2313</v>
      </c>
    </row>
    <row r="1337">
      <c r="A1337" s="3" t="s">
        <v>2281</v>
      </c>
      <c r="B1337" s="4" t="s">
        <v>558</v>
      </c>
      <c r="C1337" s="5">
        <v>36009.0</v>
      </c>
      <c r="D1337" s="8" t="str">
        <f>+45.936429°</f>
        <v>#ERROR!</v>
      </c>
      <c r="E1337" s="7" t="s">
        <v>2314</v>
      </c>
    </row>
    <row r="1338">
      <c r="A1338" s="3" t="s">
        <v>2281</v>
      </c>
      <c r="B1338" s="4" t="s">
        <v>2315</v>
      </c>
      <c r="C1338" s="5">
        <v>14553.0</v>
      </c>
      <c r="D1338" s="8" t="str">
        <f>+43.676522°</f>
        <v>#ERROR!</v>
      </c>
      <c r="E1338" s="7" t="s">
        <v>2316</v>
      </c>
    </row>
    <row r="1339">
      <c r="A1339" s="3" t="s">
        <v>2281</v>
      </c>
      <c r="B1339" s="4" t="s">
        <v>2317</v>
      </c>
      <c r="C1339" s="5">
        <v>20866.0</v>
      </c>
      <c r="D1339" s="8" t="str">
        <f>+43.677270°</f>
        <v>#ERROR!</v>
      </c>
      <c r="E1339" s="7" t="s">
        <v>2318</v>
      </c>
    </row>
    <row r="1340">
      <c r="A1340" s="3" t="s">
        <v>2281</v>
      </c>
      <c r="B1340" s="4" t="s">
        <v>2319</v>
      </c>
      <c r="C1340" s="5">
        <v>31255.0</v>
      </c>
      <c r="D1340" s="8" t="str">
        <f>+43.674202°</f>
        <v>#ERROR!</v>
      </c>
      <c r="E1340" s="7" t="s">
        <v>2320</v>
      </c>
    </row>
    <row r="1341">
      <c r="A1341" s="3" t="s">
        <v>2281</v>
      </c>
      <c r="B1341" s="4" t="s">
        <v>2321</v>
      </c>
      <c r="C1341" s="5">
        <v>46183.0</v>
      </c>
      <c r="D1341" s="8" t="str">
        <f>+44.406178°</f>
        <v>#ERROR!</v>
      </c>
      <c r="E1341" s="7" t="s">
        <v>2322</v>
      </c>
    </row>
    <row r="1342">
      <c r="A1342" s="3" t="s">
        <v>2281</v>
      </c>
      <c r="B1342" s="4" t="s">
        <v>321</v>
      </c>
      <c r="C1342" s="5">
        <v>6018.0</v>
      </c>
      <c r="D1342" s="8" t="str">
        <f>+45.930743°</f>
        <v>#ERROR!</v>
      </c>
      <c r="E1342" s="7" t="s">
        <v>2323</v>
      </c>
    </row>
    <row r="1343">
      <c r="A1343" s="3" t="s">
        <v>2281</v>
      </c>
      <c r="B1343" s="4" t="s">
        <v>2324</v>
      </c>
      <c r="C1343" s="5">
        <v>1152425.0</v>
      </c>
      <c r="D1343" s="8" t="str">
        <f>+45.006064°</f>
        <v>#ERROR!</v>
      </c>
      <c r="E1343" s="7" t="s">
        <v>2325</v>
      </c>
    </row>
    <row r="1344">
      <c r="A1344" s="3" t="s">
        <v>2281</v>
      </c>
      <c r="B1344" s="4" t="s">
        <v>105</v>
      </c>
      <c r="C1344" s="5">
        <v>19027.0</v>
      </c>
      <c r="D1344" s="8" t="str">
        <f>+43.666990°</f>
        <v>#ERROR!</v>
      </c>
      <c r="E1344" s="7" t="s">
        <v>2326</v>
      </c>
    </row>
    <row r="1345">
      <c r="A1345" s="3" t="s">
        <v>2281</v>
      </c>
      <c r="B1345" s="4" t="s">
        <v>2327</v>
      </c>
      <c r="C1345" s="5">
        <v>20428.0</v>
      </c>
      <c r="D1345" s="8" t="str">
        <f>+47.095551°</f>
        <v>#ERROR!</v>
      </c>
      <c r="E1345" s="7" t="s">
        <v>2328</v>
      </c>
    </row>
    <row r="1346">
      <c r="A1346" s="3" t="s">
        <v>2281</v>
      </c>
      <c r="B1346" s="4" t="s">
        <v>2329</v>
      </c>
      <c r="C1346" s="5">
        <v>37816.0</v>
      </c>
      <c r="D1346" s="8" t="str">
        <f>+45.562431°</f>
        <v>#ERROR!</v>
      </c>
      <c r="E1346" s="7" t="s">
        <v>2330</v>
      </c>
    </row>
    <row r="1347">
      <c r="A1347" s="3" t="s">
        <v>2281</v>
      </c>
      <c r="B1347" s="4" t="s">
        <v>2331</v>
      </c>
      <c r="C1347" s="5">
        <v>45058.0</v>
      </c>
      <c r="D1347" s="8" t="str">
        <f>+47.490843°</f>
        <v>#ERROR!</v>
      </c>
      <c r="E1347" s="7" t="s">
        <v>2332</v>
      </c>
    </row>
    <row r="1348">
      <c r="A1348" s="3" t="s">
        <v>2281</v>
      </c>
      <c r="B1348" s="4" t="s">
        <v>108</v>
      </c>
      <c r="C1348" s="5">
        <v>10266.0</v>
      </c>
      <c r="D1348" s="8" t="str">
        <f>+43.673025°</f>
        <v>#ERROR!</v>
      </c>
      <c r="E1348" s="7" t="s">
        <v>2333</v>
      </c>
    </row>
    <row r="1349">
      <c r="A1349" s="3" t="s">
        <v>2281</v>
      </c>
      <c r="B1349" s="4" t="s">
        <v>2334</v>
      </c>
      <c r="C1349" s="5">
        <v>16239.0</v>
      </c>
      <c r="D1349" s="8" t="str">
        <f>+45.947760°</f>
        <v>#ERROR!</v>
      </c>
      <c r="E1349" s="7" t="s">
        <v>2335</v>
      </c>
    </row>
    <row r="1350">
      <c r="A1350" s="3" t="s">
        <v>2281</v>
      </c>
      <c r="B1350" s="4" t="s">
        <v>2336</v>
      </c>
      <c r="C1350" s="5">
        <v>42239.0</v>
      </c>
      <c r="D1350" s="8" t="str">
        <f>+45.152714°</f>
        <v>#ERROR!</v>
      </c>
      <c r="E1350" s="7" t="s">
        <v>2337</v>
      </c>
    </row>
    <row r="1351">
      <c r="A1351" s="3" t="s">
        <v>2281</v>
      </c>
      <c r="B1351" s="4" t="s">
        <v>2338</v>
      </c>
      <c r="C1351" s="5">
        <v>4552.0</v>
      </c>
      <c r="D1351" s="8" t="str">
        <f>+48.776040°</f>
        <v>#ERROR!</v>
      </c>
      <c r="E1351" s="7" t="s">
        <v>2339</v>
      </c>
    </row>
    <row r="1352">
      <c r="A1352" s="3" t="s">
        <v>2281</v>
      </c>
      <c r="B1352" s="4" t="s">
        <v>2340</v>
      </c>
      <c r="C1352" s="5">
        <v>13311.0</v>
      </c>
      <c r="D1352" s="8" t="str">
        <f>+48.245490°</f>
        <v>#ERROR!</v>
      </c>
      <c r="E1352" s="7" t="s">
        <v>2341</v>
      </c>
    </row>
    <row r="1353">
      <c r="A1353" s="3" t="s">
        <v>2281</v>
      </c>
      <c r="B1353" s="4" t="s">
        <v>2342</v>
      </c>
      <c r="C1353" s="5">
        <v>7259.0</v>
      </c>
      <c r="D1353" s="8" t="str">
        <f>+44.999855°</f>
        <v>#ERROR!</v>
      </c>
      <c r="E1353" s="7" t="s">
        <v>2343</v>
      </c>
    </row>
    <row r="1354">
      <c r="A1354" s="3" t="s">
        <v>2281</v>
      </c>
      <c r="B1354" s="4" t="s">
        <v>439</v>
      </c>
      <c r="C1354" s="5">
        <v>10866.0</v>
      </c>
      <c r="D1354" s="8" t="str">
        <f>+47.517111°</f>
        <v>#ERROR!</v>
      </c>
      <c r="E1354" s="7" t="s">
        <v>2344</v>
      </c>
    </row>
    <row r="1355">
      <c r="A1355" s="3" t="s">
        <v>2281</v>
      </c>
      <c r="B1355" s="4" t="s">
        <v>2345</v>
      </c>
      <c r="C1355" s="5">
        <v>4045.0</v>
      </c>
      <c r="D1355" s="8" t="str">
        <f>+48.768100°</f>
        <v>#ERROR!</v>
      </c>
      <c r="E1355" s="7" t="s">
        <v>2346</v>
      </c>
    </row>
    <row r="1356">
      <c r="A1356" s="3" t="s">
        <v>2281</v>
      </c>
      <c r="B1356" s="4" t="s">
        <v>2347</v>
      </c>
      <c r="C1356" s="5">
        <v>27703.0</v>
      </c>
      <c r="D1356" s="8" t="str">
        <f>+44.373397°</f>
        <v>#ERROR!</v>
      </c>
      <c r="E1356" s="7" t="s">
        <v>2348</v>
      </c>
    </row>
    <row r="1357">
      <c r="A1357" s="3" t="s">
        <v>2281</v>
      </c>
      <c r="B1357" s="4" t="s">
        <v>342</v>
      </c>
      <c r="C1357" s="5">
        <v>5896.0</v>
      </c>
      <c r="D1357" s="8" t="str">
        <f>+44.408238°</f>
        <v>#ERROR!</v>
      </c>
      <c r="E1357" s="7" t="s">
        <v>2349</v>
      </c>
    </row>
    <row r="1358">
      <c r="A1358" s="3" t="s">
        <v>2281</v>
      </c>
      <c r="B1358" s="4" t="s">
        <v>1518</v>
      </c>
      <c r="C1358" s="5">
        <v>25857.0</v>
      </c>
      <c r="D1358" s="8" t="str">
        <f>+44.409195°</f>
        <v>#ERROR!</v>
      </c>
      <c r="E1358" s="7" t="s">
        <v>2350</v>
      </c>
    </row>
    <row r="1359">
      <c r="A1359" s="3" t="s">
        <v>2281</v>
      </c>
      <c r="B1359" s="4" t="s">
        <v>2351</v>
      </c>
      <c r="C1359" s="5">
        <v>36651.0</v>
      </c>
      <c r="D1359" s="8" t="str">
        <f>+44.821644°</f>
        <v>#ERROR!</v>
      </c>
      <c r="E1359" s="7" t="s">
        <v>2352</v>
      </c>
    </row>
    <row r="1360">
      <c r="A1360" s="3" t="s">
        <v>2281</v>
      </c>
      <c r="B1360" s="4" t="s">
        <v>2353</v>
      </c>
      <c r="C1360" s="5">
        <v>5413.0</v>
      </c>
      <c r="D1360" s="8" t="str">
        <f>+47.325842°</f>
        <v>#ERROR!</v>
      </c>
      <c r="E1360" s="7" t="s">
        <v>2354</v>
      </c>
    </row>
    <row r="1361">
      <c r="A1361" s="3" t="s">
        <v>2281</v>
      </c>
      <c r="B1361" s="4" t="s">
        <v>143</v>
      </c>
      <c r="C1361" s="5">
        <v>9439.0</v>
      </c>
      <c r="D1361" s="8" t="str">
        <f>+48.362728°</f>
        <v>#ERROR!</v>
      </c>
      <c r="E1361" s="7" t="s">
        <v>2355</v>
      </c>
    </row>
    <row r="1362">
      <c r="A1362" s="3" t="s">
        <v>2281</v>
      </c>
      <c r="B1362" s="4" t="s">
        <v>739</v>
      </c>
      <c r="C1362" s="5">
        <v>20840.0</v>
      </c>
      <c r="D1362" s="8" t="str">
        <f>+43.677118°</f>
        <v>#ERROR!</v>
      </c>
      <c r="E1362" s="7" t="s">
        <v>2356</v>
      </c>
    </row>
    <row r="1363">
      <c r="A1363" s="3" t="s">
        <v>2281</v>
      </c>
      <c r="B1363" s="4" t="s">
        <v>2357</v>
      </c>
      <c r="C1363" s="5">
        <v>23300.0</v>
      </c>
      <c r="D1363" s="8" t="str">
        <f>+45.123156°</f>
        <v>#ERROR!</v>
      </c>
      <c r="E1363" s="7" t="s">
        <v>2358</v>
      </c>
    </row>
    <row r="1364">
      <c r="A1364" s="3" t="s">
        <v>2281</v>
      </c>
      <c r="B1364" s="4" t="s">
        <v>2359</v>
      </c>
      <c r="C1364" s="5">
        <v>26097.0</v>
      </c>
      <c r="D1364" s="8" t="str">
        <f>+45.929043°</f>
        <v>#ERROR!</v>
      </c>
      <c r="E1364" s="7" t="s">
        <v>2360</v>
      </c>
    </row>
    <row r="1365">
      <c r="A1365" s="3" t="s">
        <v>2281</v>
      </c>
      <c r="B1365" s="4" t="s">
        <v>2361</v>
      </c>
      <c r="C1365" s="5">
        <v>33198.0</v>
      </c>
      <c r="D1365" s="8" t="str">
        <f>+46.020484°</f>
        <v>#ERROR!</v>
      </c>
      <c r="E1365" s="7" t="s">
        <v>2362</v>
      </c>
    </row>
    <row r="1366">
      <c r="A1366" s="3" t="s">
        <v>2281</v>
      </c>
      <c r="B1366" s="4" t="s">
        <v>2363</v>
      </c>
      <c r="C1366" s="5">
        <v>39163.0</v>
      </c>
      <c r="D1366" s="8" t="str">
        <f>+43.666249°</f>
        <v>#ERROR!</v>
      </c>
      <c r="E1366" s="7" t="s">
        <v>2364</v>
      </c>
    </row>
    <row r="1367">
      <c r="A1367" s="3" t="s">
        <v>2281</v>
      </c>
      <c r="B1367" s="4" t="s">
        <v>960</v>
      </c>
      <c r="C1367" s="5">
        <v>8725.0</v>
      </c>
      <c r="D1367" s="8" t="str">
        <f>+44.015594°</f>
        <v>#ERROR!</v>
      </c>
      <c r="E1367" s="7" t="s">
        <v>2365</v>
      </c>
    </row>
    <row r="1368">
      <c r="A1368" s="3" t="s">
        <v>2281</v>
      </c>
      <c r="B1368" s="4" t="s">
        <v>2366</v>
      </c>
      <c r="C1368" s="5">
        <v>32727.0</v>
      </c>
      <c r="D1368" s="8" t="str">
        <f>+44.358820°</f>
        <v>#ERROR!</v>
      </c>
      <c r="E1368" s="7" t="s">
        <v>2367</v>
      </c>
    </row>
    <row r="1369">
      <c r="A1369" s="3" t="s">
        <v>2281</v>
      </c>
      <c r="B1369" s="4" t="s">
        <v>2368</v>
      </c>
      <c r="C1369" s="5">
        <v>21378.0</v>
      </c>
      <c r="D1369" s="8" t="str">
        <f>+43.677686°</f>
        <v>#ERROR!</v>
      </c>
      <c r="E1369" s="7" t="s">
        <v>2369</v>
      </c>
    </row>
    <row r="1370">
      <c r="A1370" s="3" t="s">
        <v>2281</v>
      </c>
      <c r="B1370" s="4" t="s">
        <v>2370</v>
      </c>
      <c r="C1370" s="5">
        <v>6852.0</v>
      </c>
      <c r="D1370" s="8" t="str">
        <f>+47.329470°</f>
        <v>#ERROR!</v>
      </c>
      <c r="E1370" s="7" t="s">
        <v>2371</v>
      </c>
    </row>
    <row r="1371">
      <c r="A1371" s="3" t="s">
        <v>2281</v>
      </c>
      <c r="B1371" s="4" t="s">
        <v>2372</v>
      </c>
      <c r="C1371" s="5">
        <v>144248.0</v>
      </c>
      <c r="D1371" s="8" t="str">
        <f>+44.003430°</f>
        <v>#ERROR!</v>
      </c>
      <c r="E1371" s="7" t="s">
        <v>2373</v>
      </c>
    </row>
    <row r="1372">
      <c r="A1372" s="3" t="s">
        <v>2281</v>
      </c>
      <c r="B1372" s="4" t="s">
        <v>2374</v>
      </c>
      <c r="C1372" s="5">
        <v>57303.0</v>
      </c>
      <c r="D1372" s="8" t="str">
        <f>+46.405725°</f>
        <v>#ERROR!</v>
      </c>
      <c r="E1372" s="7" t="s">
        <v>2375</v>
      </c>
    </row>
    <row r="1373">
      <c r="A1373" s="3" t="s">
        <v>2281</v>
      </c>
      <c r="B1373" s="4" t="s">
        <v>2376</v>
      </c>
      <c r="C1373" s="5">
        <v>13930.0</v>
      </c>
      <c r="D1373" s="8" t="str">
        <f>+48.069247°</f>
        <v>#ERROR!</v>
      </c>
      <c r="E1373" s="7" t="s">
        <v>2377</v>
      </c>
    </row>
    <row r="1374">
      <c r="A1374" s="3" t="s">
        <v>2281</v>
      </c>
      <c r="B1374" s="4" t="s">
        <v>2378</v>
      </c>
      <c r="C1374" s="5">
        <v>29750.0</v>
      </c>
      <c r="D1374" s="8" t="str">
        <f>+46.100940°</f>
        <v>#ERROR!</v>
      </c>
      <c r="E1374" s="7" t="s">
        <v>2379</v>
      </c>
    </row>
    <row r="1375">
      <c r="A1375" s="3" t="s">
        <v>2281</v>
      </c>
      <c r="B1375" s="4" t="s">
        <v>2380</v>
      </c>
      <c r="C1375" s="5">
        <v>9596.0</v>
      </c>
      <c r="D1375" s="8" t="str">
        <f>+44.015361°</f>
        <v>#ERROR!</v>
      </c>
      <c r="E1375" s="7" t="s">
        <v>2381</v>
      </c>
    </row>
    <row r="1376">
      <c r="A1376" s="3" t="s">
        <v>2281</v>
      </c>
      <c r="B1376" s="4" t="s">
        <v>370</v>
      </c>
      <c r="C1376" s="5">
        <v>31600.0</v>
      </c>
      <c r="D1376" s="8" t="str">
        <f>+47.774254°</f>
        <v>#ERROR!</v>
      </c>
      <c r="E1376" s="7" t="s">
        <v>2382</v>
      </c>
    </row>
    <row r="1377">
      <c r="A1377" s="3" t="s">
        <v>2281</v>
      </c>
      <c r="B1377" s="4" t="s">
        <v>372</v>
      </c>
      <c r="C1377" s="5">
        <v>10995.0</v>
      </c>
      <c r="D1377" s="8" t="str">
        <f>+45.589623°</f>
        <v>#ERROR!</v>
      </c>
      <c r="E1377" s="7" t="s">
        <v>2383</v>
      </c>
    </row>
    <row r="1378">
      <c r="A1378" s="3" t="s">
        <v>2281</v>
      </c>
      <c r="B1378" s="4" t="s">
        <v>2384</v>
      </c>
      <c r="C1378" s="5">
        <v>508640.0</v>
      </c>
      <c r="D1378" s="8" t="str">
        <f>+45.015250°</f>
        <v>#ERROR!</v>
      </c>
      <c r="E1378" s="7" t="s">
        <v>2385</v>
      </c>
    </row>
    <row r="1379">
      <c r="A1379" s="3" t="s">
        <v>2281</v>
      </c>
      <c r="B1379" s="4" t="s">
        <v>2386</v>
      </c>
      <c r="C1379" s="5">
        <v>4089.0</v>
      </c>
      <c r="D1379" s="8" t="str">
        <f>+47.865487°</f>
        <v>#ERROR!</v>
      </c>
      <c r="E1379" s="7" t="s">
        <v>2387</v>
      </c>
    </row>
    <row r="1380">
      <c r="A1380" s="3" t="s">
        <v>2281</v>
      </c>
      <c r="B1380" s="4" t="s">
        <v>2388</v>
      </c>
      <c r="C1380" s="5">
        <v>16059.0</v>
      </c>
      <c r="D1380" s="8" t="str">
        <f>+44.403536°</f>
        <v>#ERROR!</v>
      </c>
      <c r="E1380" s="7" t="s">
        <v>2389</v>
      </c>
    </row>
    <row r="1381">
      <c r="A1381" s="3" t="s">
        <v>2281</v>
      </c>
      <c r="B1381" s="4" t="s">
        <v>2390</v>
      </c>
      <c r="C1381" s="5">
        <v>15730.0</v>
      </c>
      <c r="D1381" s="8" t="str">
        <f>+44.723697°</f>
        <v>#ERROR!</v>
      </c>
      <c r="E1381" s="7" t="s">
        <v>2391</v>
      </c>
    </row>
    <row r="1382">
      <c r="A1382" s="3" t="s">
        <v>2281</v>
      </c>
      <c r="B1382" s="4" t="s">
        <v>1707</v>
      </c>
      <c r="C1382" s="5">
        <v>64142.0</v>
      </c>
      <c r="D1382" s="8" t="str">
        <f>+44.350943°</f>
        <v>#ERROR!</v>
      </c>
      <c r="E1382" s="7" t="s">
        <v>2392</v>
      </c>
    </row>
    <row r="1383">
      <c r="A1383" s="3" t="s">
        <v>2281</v>
      </c>
      <c r="B1383" s="4" t="s">
        <v>2393</v>
      </c>
      <c r="C1383" s="5">
        <v>9687.0</v>
      </c>
      <c r="D1383" s="8" t="str">
        <f>+43.669587°</f>
        <v>#ERROR!</v>
      </c>
      <c r="E1383" s="7" t="s">
        <v>2394</v>
      </c>
    </row>
    <row r="1384">
      <c r="A1384" s="3" t="s">
        <v>2281</v>
      </c>
      <c r="B1384" s="4" t="s">
        <v>2395</v>
      </c>
      <c r="C1384" s="5">
        <v>15629.0</v>
      </c>
      <c r="D1384" s="8" t="str">
        <f>+48.761066°</f>
        <v>#ERROR!</v>
      </c>
      <c r="E1384" s="7" t="s">
        <v>2396</v>
      </c>
    </row>
    <row r="1385">
      <c r="A1385" s="3" t="s">
        <v>2281</v>
      </c>
      <c r="B1385" s="4" t="s">
        <v>2397</v>
      </c>
      <c r="C1385" s="5">
        <v>200226.0</v>
      </c>
      <c r="D1385" s="8" t="str">
        <f>+47.583852°</f>
        <v>#ERROR!</v>
      </c>
      <c r="E1385" s="7" t="s">
        <v>2398</v>
      </c>
    </row>
    <row r="1386">
      <c r="A1386" s="3" t="s">
        <v>2281</v>
      </c>
      <c r="B1386" s="4" t="s">
        <v>383</v>
      </c>
      <c r="C1386" s="5">
        <v>129928.0</v>
      </c>
      <c r="D1386" s="8" t="str">
        <f>+44.651932°</f>
        <v>#ERROR!</v>
      </c>
      <c r="E1386" s="7" t="s">
        <v>2399</v>
      </c>
    </row>
    <row r="1387">
      <c r="A1387" s="3" t="s">
        <v>2281</v>
      </c>
      <c r="B1387" s="4" t="s">
        <v>2400</v>
      </c>
      <c r="C1387" s="5">
        <v>88499.0</v>
      </c>
      <c r="D1387" s="8" t="str">
        <f>+45.443171°</f>
        <v>#ERROR!</v>
      </c>
      <c r="E1387" s="7" t="s">
        <v>2401</v>
      </c>
    </row>
    <row r="1388">
      <c r="A1388" s="3" t="s">
        <v>2281</v>
      </c>
      <c r="B1388" s="4" t="s">
        <v>2402</v>
      </c>
      <c r="C1388" s="5">
        <v>15226.0</v>
      </c>
      <c r="D1388" s="8" t="str">
        <f>+44.575734°</f>
        <v>#ERROR!</v>
      </c>
      <c r="E1388" s="7" t="s">
        <v>2403</v>
      </c>
    </row>
    <row r="1389">
      <c r="A1389" s="3" t="s">
        <v>2281</v>
      </c>
      <c r="B1389" s="4" t="s">
        <v>2404</v>
      </c>
      <c r="C1389" s="5">
        <v>150642.0</v>
      </c>
      <c r="D1389" s="8" t="str">
        <f>+45.555235°</f>
        <v>#ERROR!</v>
      </c>
      <c r="E1389" s="7" t="s">
        <v>2405</v>
      </c>
    </row>
    <row r="1390">
      <c r="A1390" s="3" t="s">
        <v>2281</v>
      </c>
      <c r="B1390" s="4" t="s">
        <v>2406</v>
      </c>
      <c r="C1390" s="5">
        <v>36576.0</v>
      </c>
      <c r="D1390" s="8" t="str">
        <f>+44.015261°</f>
        <v>#ERROR!</v>
      </c>
      <c r="E1390" s="7" t="s">
        <v>2407</v>
      </c>
    </row>
    <row r="1391">
      <c r="A1391" s="3" t="s">
        <v>2281</v>
      </c>
      <c r="B1391" s="4" t="s">
        <v>1732</v>
      </c>
      <c r="C1391" s="5">
        <v>9726.0</v>
      </c>
      <c r="D1391" s="8" t="str">
        <f>+45.593461°</f>
        <v>#ERROR!</v>
      </c>
      <c r="E1391" s="7" t="s">
        <v>2408</v>
      </c>
    </row>
    <row r="1392">
      <c r="A1392" s="3" t="s">
        <v>2281</v>
      </c>
      <c r="B1392" s="4" t="s">
        <v>2409</v>
      </c>
      <c r="C1392" s="5">
        <v>9783.0</v>
      </c>
      <c r="D1392" s="8" t="str">
        <f>+45.275450°</f>
        <v>#ERROR!</v>
      </c>
      <c r="E1392" s="7" t="s">
        <v>2410</v>
      </c>
    </row>
    <row r="1393">
      <c r="A1393" s="3" t="s">
        <v>2281</v>
      </c>
      <c r="B1393" s="4" t="s">
        <v>1913</v>
      </c>
      <c r="C1393" s="5">
        <v>24895.0</v>
      </c>
      <c r="D1393" s="8" t="str">
        <f>+46.066569°</f>
        <v>#ERROR!</v>
      </c>
      <c r="E1393" s="7" t="s">
        <v>2411</v>
      </c>
    </row>
    <row r="1394">
      <c r="A1394" s="3" t="s">
        <v>2281</v>
      </c>
      <c r="B1394" s="4" t="s">
        <v>2412</v>
      </c>
      <c r="C1394" s="5">
        <v>3558.0</v>
      </c>
      <c r="D1394" s="8" t="str">
        <f>+45.769840°</f>
        <v>#ERROR!</v>
      </c>
      <c r="E1394" s="7" t="s">
        <v>2413</v>
      </c>
    </row>
    <row r="1395">
      <c r="A1395" s="3" t="s">
        <v>2281</v>
      </c>
      <c r="B1395" s="4" t="s">
        <v>2414</v>
      </c>
      <c r="C1395" s="5">
        <v>21676.0</v>
      </c>
      <c r="D1395" s="8" t="str">
        <f>+44.289693°</f>
        <v>#ERROR!</v>
      </c>
      <c r="E1395" s="7" t="s">
        <v>2415</v>
      </c>
    </row>
    <row r="1396">
      <c r="A1396" s="3" t="s">
        <v>2281</v>
      </c>
      <c r="B1396" s="4" t="s">
        <v>2416</v>
      </c>
      <c r="C1396" s="5">
        <v>13843.0</v>
      </c>
      <c r="D1396" s="8" t="str">
        <f>+46.586784°</f>
        <v>#ERROR!</v>
      </c>
      <c r="E1396" s="7" t="s">
        <v>2417</v>
      </c>
    </row>
    <row r="1397">
      <c r="A1397" s="3" t="s">
        <v>2281</v>
      </c>
      <c r="B1397" s="4" t="s">
        <v>2418</v>
      </c>
      <c r="C1397" s="5">
        <v>19136.0</v>
      </c>
      <c r="D1397" s="8" t="str">
        <f>+44.018460°</f>
        <v>#ERROR!</v>
      </c>
      <c r="E1397" s="7" t="s">
        <v>2419</v>
      </c>
    </row>
    <row r="1398">
      <c r="A1398" s="3" t="s">
        <v>2281</v>
      </c>
      <c r="B1398" s="4" t="s">
        <v>177</v>
      </c>
      <c r="C1398" s="5">
        <v>238136.0</v>
      </c>
      <c r="D1398" s="8" t="str">
        <f>+45.037929°</f>
        <v>#ERROR!</v>
      </c>
      <c r="E1398" s="7" t="s">
        <v>2420</v>
      </c>
    </row>
    <row r="1399">
      <c r="A1399" s="3" t="s">
        <v>2281</v>
      </c>
      <c r="B1399" s="4" t="s">
        <v>2421</v>
      </c>
      <c r="C1399" s="5">
        <v>11211.0</v>
      </c>
      <c r="D1399" s="8" t="str">
        <f>+43.978366°</f>
        <v>#ERROR!</v>
      </c>
      <c r="E1399" s="7" t="s">
        <v>2422</v>
      </c>
    </row>
    <row r="1400">
      <c r="A1400" s="3" t="s">
        <v>2281</v>
      </c>
      <c r="B1400" s="4" t="s">
        <v>2423</v>
      </c>
      <c r="C1400" s="5">
        <v>6576.0</v>
      </c>
      <c r="D1400" s="8" t="str">
        <f>+46.362335°</f>
        <v>#ERROR!</v>
      </c>
      <c r="E1400" s="7" t="s">
        <v>2424</v>
      </c>
    </row>
    <row r="1401">
      <c r="A1401" s="3" t="s">
        <v>2281</v>
      </c>
      <c r="B1401" s="4" t="s">
        <v>2425</v>
      </c>
      <c r="C1401" s="5">
        <v>51461.0</v>
      </c>
      <c r="D1401" s="8" t="str">
        <f>+43.982268°</f>
        <v>#ERROR!</v>
      </c>
      <c r="E1401" s="7" t="s">
        <v>2426</v>
      </c>
    </row>
    <row r="1402">
      <c r="A1402" s="3" t="s">
        <v>2281</v>
      </c>
      <c r="B1402" s="4" t="s">
        <v>1577</v>
      </c>
      <c r="C1402" s="5">
        <v>124700.0</v>
      </c>
      <c r="D1402" s="8" t="str">
        <f>+45.175091°</f>
        <v>#ERROR!</v>
      </c>
      <c r="E1402" s="7" t="s">
        <v>2427</v>
      </c>
    </row>
    <row r="1403">
      <c r="A1403" s="3" t="s">
        <v>2281</v>
      </c>
      <c r="B1403" s="4" t="s">
        <v>2428</v>
      </c>
      <c r="C1403" s="5">
        <v>10438.0</v>
      </c>
      <c r="D1403" s="8" t="str">
        <f>+44.715736°</f>
        <v>#ERROR!</v>
      </c>
      <c r="E1403" s="7" t="s">
        <v>2429</v>
      </c>
    </row>
    <row r="1404">
      <c r="A1404" s="3" t="s">
        <v>2430</v>
      </c>
      <c r="B1404" s="4" t="s">
        <v>522</v>
      </c>
      <c r="C1404" s="5">
        <v>32297.0</v>
      </c>
      <c r="D1404" s="8" t="str">
        <f>+31.486218°</f>
        <v>#ERROR!</v>
      </c>
      <c r="E1404" s="7" t="s">
        <v>2431</v>
      </c>
    </row>
    <row r="1405">
      <c r="A1405" s="3" t="s">
        <v>2430</v>
      </c>
      <c r="B1405" s="4" t="s">
        <v>2432</v>
      </c>
      <c r="C1405" s="5">
        <v>37057.0</v>
      </c>
      <c r="D1405" s="8" t="str">
        <f>+34.886648°</f>
        <v>#ERROR!</v>
      </c>
      <c r="E1405" s="7" t="s">
        <v>2433</v>
      </c>
    </row>
    <row r="1406">
      <c r="A1406" s="3" t="s">
        <v>2430</v>
      </c>
      <c r="B1406" s="4" t="s">
        <v>2434</v>
      </c>
      <c r="C1406" s="5">
        <v>13131.0</v>
      </c>
      <c r="D1406" s="8" t="str">
        <f>+31.203933°</f>
        <v>#ERROR!</v>
      </c>
      <c r="E1406" s="7" t="s">
        <v>2435</v>
      </c>
    </row>
    <row r="1407">
      <c r="A1407" s="3" t="s">
        <v>2430</v>
      </c>
      <c r="B1407" s="4" t="s">
        <v>2436</v>
      </c>
      <c r="C1407" s="5">
        <v>19564.0</v>
      </c>
      <c r="D1407" s="8" t="str">
        <f>+33.090470°</f>
        <v>#ERROR!</v>
      </c>
      <c r="E1407" s="7" t="s">
        <v>2437</v>
      </c>
    </row>
    <row r="1408">
      <c r="A1408" s="3" t="s">
        <v>2430</v>
      </c>
      <c r="B1408" s="4" t="s">
        <v>280</v>
      </c>
      <c r="C1408" s="5">
        <v>8729.0</v>
      </c>
      <c r="D1408" s="8" t="str">
        <f>+34.810773°</f>
        <v>#ERROR!</v>
      </c>
      <c r="E1408" s="7" t="s">
        <v>2438</v>
      </c>
    </row>
    <row r="1409">
      <c r="A1409" s="3" t="s">
        <v>2430</v>
      </c>
      <c r="B1409" s="4" t="s">
        <v>2439</v>
      </c>
      <c r="C1409" s="5">
        <v>34145.0</v>
      </c>
      <c r="D1409" s="8" t="str">
        <f>+33.799278°</f>
        <v>#ERROR!</v>
      </c>
      <c r="E1409" s="7" t="s">
        <v>2440</v>
      </c>
    </row>
    <row r="1410">
      <c r="A1410" s="3" t="s">
        <v>2430</v>
      </c>
      <c r="B1410" s="4" t="s">
        <v>27</v>
      </c>
      <c r="C1410" s="5">
        <v>14962.0</v>
      </c>
      <c r="D1410" s="8" t="str">
        <f>+33.936634°</f>
        <v>#ERROR!</v>
      </c>
      <c r="E1410" s="7" t="s">
        <v>2441</v>
      </c>
    </row>
    <row r="1411">
      <c r="A1411" s="3" t="s">
        <v>2430</v>
      </c>
      <c r="B1411" s="4" t="s">
        <v>287</v>
      </c>
      <c r="C1411" s="5">
        <v>10597.0</v>
      </c>
      <c r="D1411" s="8" t="str">
        <f>+33.440795°</f>
        <v>#ERROR!</v>
      </c>
      <c r="E1411" s="7" t="s">
        <v>2442</v>
      </c>
    </row>
    <row r="1412">
      <c r="A1412" s="3" t="s">
        <v>2430</v>
      </c>
      <c r="B1412" s="4" t="s">
        <v>1463</v>
      </c>
      <c r="C1412" s="5">
        <v>17392.0</v>
      </c>
      <c r="D1412" s="8" t="str">
        <f>+33.921654°</f>
        <v>#ERROR!</v>
      </c>
      <c r="E1412" s="7" t="s">
        <v>2443</v>
      </c>
    </row>
    <row r="1413">
      <c r="A1413" s="3" t="s">
        <v>2430</v>
      </c>
      <c r="B1413" s="4" t="s">
        <v>36</v>
      </c>
      <c r="C1413" s="5">
        <v>8547.0</v>
      </c>
      <c r="D1413" s="8" t="str">
        <f>+33.345964°</f>
        <v>#ERROR!</v>
      </c>
      <c r="E1413" s="7" t="s">
        <v>2444</v>
      </c>
    </row>
    <row r="1414">
      <c r="A1414" s="3" t="s">
        <v>2430</v>
      </c>
      <c r="B1414" s="4" t="s">
        <v>1953</v>
      </c>
      <c r="C1414" s="5">
        <v>9604.0</v>
      </c>
      <c r="D1414" s="8" t="str">
        <f>+31.972810°</f>
        <v>#ERROR!</v>
      </c>
      <c r="E1414" s="7" t="s">
        <v>2445</v>
      </c>
    </row>
    <row r="1415">
      <c r="A1415" s="3" t="s">
        <v>2430</v>
      </c>
      <c r="B1415" s="4" t="s">
        <v>39</v>
      </c>
      <c r="C1415" s="5">
        <v>16732.0</v>
      </c>
      <c r="D1415" s="8" t="str">
        <f>+32.048448°</f>
        <v>#ERROR!</v>
      </c>
      <c r="E1415" s="7" t="s">
        <v>2446</v>
      </c>
    </row>
    <row r="1416">
      <c r="A1416" s="3" t="s">
        <v>2430</v>
      </c>
      <c r="B1416" s="4" t="s">
        <v>42</v>
      </c>
      <c r="C1416" s="5">
        <v>20634.0</v>
      </c>
      <c r="D1416" s="8" t="str">
        <f>+33.661734°</f>
        <v>#ERROR!</v>
      </c>
      <c r="E1416" s="7" t="s">
        <v>2447</v>
      </c>
    </row>
    <row r="1417">
      <c r="A1417" s="3" t="s">
        <v>2430</v>
      </c>
      <c r="B1417" s="4" t="s">
        <v>2448</v>
      </c>
      <c r="C1417" s="5">
        <v>26151.0</v>
      </c>
      <c r="D1417" s="8" t="str">
        <f>+34.228670°</f>
        <v>#ERROR!</v>
      </c>
      <c r="E1417" s="7" t="s">
        <v>2449</v>
      </c>
    </row>
    <row r="1418">
      <c r="A1418" s="3" t="s">
        <v>2430</v>
      </c>
      <c r="B1418" s="4" t="s">
        <v>2450</v>
      </c>
      <c r="C1418" s="5">
        <v>29449.0</v>
      </c>
      <c r="D1418" s="8" t="str">
        <f>+31.866915°</f>
        <v>#ERROR!</v>
      </c>
      <c r="E1418" s="7" t="s">
        <v>2451</v>
      </c>
    </row>
    <row r="1419">
      <c r="A1419" s="3" t="s">
        <v>2430</v>
      </c>
      <c r="B1419" s="4" t="s">
        <v>60</v>
      </c>
      <c r="C1419" s="5">
        <v>19568.0</v>
      </c>
      <c r="D1419" s="8" t="str">
        <f>+31.633331°</f>
        <v>#ERROR!</v>
      </c>
      <c r="E1419" s="7" t="s">
        <v>2452</v>
      </c>
    </row>
    <row r="1420">
      <c r="A1420" s="3" t="s">
        <v>2430</v>
      </c>
      <c r="B1420" s="4" t="s">
        <v>690</v>
      </c>
      <c r="C1420" s="5">
        <v>161252.0</v>
      </c>
      <c r="D1420" s="8" t="str">
        <f>+34.874266°</f>
        <v>#ERROR!</v>
      </c>
      <c r="E1420" s="7" t="s">
        <v>2453</v>
      </c>
    </row>
    <row r="1421">
      <c r="A1421" s="3" t="s">
        <v>2430</v>
      </c>
      <c r="B1421" s="4" t="s">
        <v>2454</v>
      </c>
      <c r="C1421" s="5">
        <v>74934.0</v>
      </c>
      <c r="D1421" s="8" t="str">
        <f>+31.188580°</f>
        <v>#ERROR!</v>
      </c>
      <c r="E1421" s="7" t="s">
        <v>2455</v>
      </c>
    </row>
    <row r="1422">
      <c r="A1422" s="3" t="s">
        <v>2430</v>
      </c>
      <c r="B1422" s="4" t="s">
        <v>90</v>
      </c>
      <c r="C1422" s="5">
        <v>8118.0</v>
      </c>
      <c r="D1422" s="8" t="str">
        <f>+31.477798°</f>
        <v>#ERROR!</v>
      </c>
      <c r="E1422" s="7" t="s">
        <v>2456</v>
      </c>
    </row>
    <row r="1423">
      <c r="A1423" s="3" t="s">
        <v>2430</v>
      </c>
      <c r="B1423" s="4" t="s">
        <v>2457</v>
      </c>
      <c r="C1423" s="5">
        <v>22578.0</v>
      </c>
      <c r="D1423" s="8" t="str">
        <f>+30.855431°</f>
        <v>#ERROR!</v>
      </c>
      <c r="E1423" s="7" t="s">
        <v>2458</v>
      </c>
    </row>
    <row r="1424">
      <c r="A1424" s="3" t="s">
        <v>2430</v>
      </c>
      <c r="B1424" s="4" t="s">
        <v>96</v>
      </c>
      <c r="C1424" s="5">
        <v>14400.0</v>
      </c>
      <c r="D1424" s="8" t="str">
        <f>+31.212846°</f>
        <v>#ERROR!</v>
      </c>
      <c r="E1424" s="7" t="s">
        <v>2459</v>
      </c>
    </row>
    <row r="1425">
      <c r="A1425" s="3" t="s">
        <v>2430</v>
      </c>
      <c r="B1425" s="4" t="s">
        <v>2460</v>
      </c>
      <c r="C1425" s="5">
        <v>21906.0</v>
      </c>
      <c r="D1425" s="8" t="str">
        <f>+33.770031°</f>
        <v>#ERROR!</v>
      </c>
      <c r="E1425" s="7" t="s">
        <v>2461</v>
      </c>
    </row>
    <row r="1426">
      <c r="A1426" s="3" t="s">
        <v>2430</v>
      </c>
      <c r="B1426" s="4" t="s">
        <v>907</v>
      </c>
      <c r="C1426" s="5">
        <v>43929.0</v>
      </c>
      <c r="D1426" s="8" t="str">
        <f>+30.391437°</f>
        <v>#ERROR!</v>
      </c>
      <c r="E1426" s="7" t="s">
        <v>2462</v>
      </c>
    </row>
    <row r="1427">
      <c r="A1427" s="3" t="s">
        <v>2430</v>
      </c>
      <c r="B1427" s="4" t="s">
        <v>1341</v>
      </c>
      <c r="C1427" s="5">
        <v>187105.0</v>
      </c>
      <c r="D1427" s="8" t="str">
        <f>+30.416536°</f>
        <v>#ERROR!</v>
      </c>
      <c r="E1427" s="7" t="s">
        <v>2463</v>
      </c>
    </row>
    <row r="1428">
      <c r="A1428" s="3" t="s">
        <v>2430</v>
      </c>
      <c r="B1428" s="4" t="s">
        <v>2464</v>
      </c>
      <c r="C1428" s="5">
        <v>245285.0</v>
      </c>
      <c r="D1428" s="8" t="str">
        <f>+32.267924°</f>
        <v>#ERROR!</v>
      </c>
      <c r="E1428" s="7" t="s">
        <v>2465</v>
      </c>
    </row>
    <row r="1429">
      <c r="A1429" s="3" t="s">
        <v>2430</v>
      </c>
      <c r="B1429" s="4" t="s">
        <v>720</v>
      </c>
      <c r="C1429" s="5">
        <v>19198.0</v>
      </c>
      <c r="D1429" s="8" t="str">
        <f>+33.125942°</f>
        <v>#ERROR!</v>
      </c>
      <c r="E1429" s="7" t="s">
        <v>2466</v>
      </c>
    </row>
    <row r="1430">
      <c r="A1430" s="3" t="s">
        <v>2430</v>
      </c>
      <c r="B1430" s="4" t="s">
        <v>2467</v>
      </c>
      <c r="C1430" s="5">
        <v>9375.0</v>
      </c>
      <c r="D1430" s="8" t="str">
        <f>+33.132978°</f>
        <v>#ERROR!</v>
      </c>
      <c r="E1430" s="7" t="s">
        <v>2468</v>
      </c>
    </row>
    <row r="1431">
      <c r="A1431" s="3" t="s">
        <v>2430</v>
      </c>
      <c r="B1431" s="4" t="s">
        <v>2469</v>
      </c>
      <c r="C1431" s="5">
        <v>1406.0</v>
      </c>
      <c r="D1431" s="8" t="str">
        <f>+32.754977°</f>
        <v>#ERROR!</v>
      </c>
      <c r="E1431" s="7" t="s">
        <v>2470</v>
      </c>
    </row>
    <row r="1432">
      <c r="A1432" s="3" t="s">
        <v>2430</v>
      </c>
      <c r="B1432" s="4" t="s">
        <v>2471</v>
      </c>
      <c r="C1432" s="5">
        <v>23401.0</v>
      </c>
      <c r="D1432" s="8" t="str">
        <f>+34.281075°</f>
        <v>#ERROR!</v>
      </c>
      <c r="E1432" s="7" t="s">
        <v>2472</v>
      </c>
    </row>
    <row r="1433">
      <c r="A1433" s="3" t="s">
        <v>2430</v>
      </c>
      <c r="B1433" s="4" t="s">
        <v>108</v>
      </c>
      <c r="C1433" s="5">
        <v>139668.0</v>
      </c>
      <c r="D1433" s="8" t="str">
        <f>+30.458491°</f>
        <v>#ERROR!</v>
      </c>
      <c r="E1433" s="7" t="s">
        <v>2473</v>
      </c>
    </row>
    <row r="1434">
      <c r="A1434" s="3" t="s">
        <v>2430</v>
      </c>
      <c r="B1434" s="4" t="s">
        <v>922</v>
      </c>
      <c r="C1434" s="5">
        <v>17062.0</v>
      </c>
      <c r="D1434" s="8" t="str">
        <f>+32.016989°</f>
        <v>#ERROR!</v>
      </c>
      <c r="E1434" s="7" t="s">
        <v>2474</v>
      </c>
    </row>
    <row r="1435">
      <c r="A1435" s="3" t="s">
        <v>2430</v>
      </c>
      <c r="B1435" s="4" t="s">
        <v>111</v>
      </c>
      <c r="C1435" s="5">
        <v>7726.0</v>
      </c>
      <c r="D1435" s="8" t="str">
        <f>+31.733633°</f>
        <v>#ERROR!</v>
      </c>
      <c r="E1435" s="7" t="s">
        <v>2475</v>
      </c>
    </row>
    <row r="1436">
      <c r="A1436" s="3" t="s">
        <v>2430</v>
      </c>
      <c r="B1436" s="4" t="s">
        <v>1975</v>
      </c>
      <c r="C1436" s="5">
        <v>12487.0</v>
      </c>
      <c r="D1436" s="8" t="str">
        <f>+31.564734°</f>
        <v>#ERROR!</v>
      </c>
      <c r="E1436" s="7" t="s">
        <v>2476</v>
      </c>
    </row>
    <row r="1437">
      <c r="A1437" s="3" t="s">
        <v>2430</v>
      </c>
      <c r="B1437" s="4" t="s">
        <v>930</v>
      </c>
      <c r="C1437" s="5">
        <v>67761.0</v>
      </c>
      <c r="D1437" s="8" t="str">
        <f>+31.621044°</f>
        <v>#ERROR!</v>
      </c>
      <c r="E1437" s="7" t="s">
        <v>2477</v>
      </c>
    </row>
    <row r="1438">
      <c r="A1438" s="3" t="s">
        <v>2430</v>
      </c>
      <c r="B1438" s="4" t="s">
        <v>2478</v>
      </c>
      <c r="C1438" s="5">
        <v>10456.0</v>
      </c>
      <c r="D1438" s="8" t="str">
        <f>+32.750136°</f>
        <v>#ERROR!</v>
      </c>
      <c r="E1438" s="7" t="s">
        <v>2479</v>
      </c>
    </row>
    <row r="1439">
      <c r="A1439" s="3" t="s">
        <v>2430</v>
      </c>
      <c r="B1439" s="4" t="s">
        <v>338</v>
      </c>
      <c r="C1439" s="5">
        <v>47351.0</v>
      </c>
      <c r="D1439" s="8" t="str">
        <f>+34.349298°</f>
        <v>#ERROR!</v>
      </c>
      <c r="E1439" s="7" t="s">
        <v>2480</v>
      </c>
    </row>
    <row r="1440">
      <c r="A1440" s="3" t="s">
        <v>2430</v>
      </c>
      <c r="B1440" s="4" t="s">
        <v>114</v>
      </c>
      <c r="C1440" s="5">
        <v>55658.0</v>
      </c>
      <c r="D1440" s="8" t="str">
        <f>+31.197135°</f>
        <v>#ERROR!</v>
      </c>
      <c r="E1440" s="7" t="s">
        <v>2481</v>
      </c>
    </row>
    <row r="1441">
      <c r="A1441" s="3" t="s">
        <v>2430</v>
      </c>
      <c r="B1441" s="4" t="s">
        <v>117</v>
      </c>
      <c r="C1441" s="5">
        <v>80261.0</v>
      </c>
      <c r="D1441" s="8" t="str">
        <f>+32.403998°</f>
        <v>#ERROR!</v>
      </c>
      <c r="E1441" s="7" t="s">
        <v>2482</v>
      </c>
    </row>
    <row r="1442">
      <c r="A1442" s="3" t="s">
        <v>2430</v>
      </c>
      <c r="B1442" s="4" t="s">
        <v>120</v>
      </c>
      <c r="C1442" s="5">
        <v>12929.0</v>
      </c>
      <c r="D1442" s="8" t="str">
        <f>+31.550009°</f>
        <v>#ERROR!</v>
      </c>
      <c r="E1442" s="7" t="s">
        <v>2483</v>
      </c>
    </row>
    <row r="1443">
      <c r="A1443" s="3" t="s">
        <v>2430</v>
      </c>
      <c r="B1443" s="4" t="s">
        <v>2484</v>
      </c>
      <c r="C1443" s="5">
        <v>23805.0</v>
      </c>
      <c r="D1443" s="8" t="str">
        <f>+32.753268°</f>
        <v>#ERROR!</v>
      </c>
      <c r="E1443" s="7" t="s">
        <v>2485</v>
      </c>
    </row>
    <row r="1444">
      <c r="A1444" s="3" t="s">
        <v>2430</v>
      </c>
      <c r="B1444" s="4" t="s">
        <v>123</v>
      </c>
      <c r="C1444" s="5">
        <v>82910.0</v>
      </c>
      <c r="D1444" s="8" t="str">
        <f>+34.288965°</f>
        <v>#ERROR!</v>
      </c>
      <c r="E1444" s="7" t="s">
        <v>2486</v>
      </c>
    </row>
    <row r="1445">
      <c r="A1445" s="3" t="s">
        <v>2430</v>
      </c>
      <c r="B1445" s="4" t="s">
        <v>2487</v>
      </c>
      <c r="C1445" s="5">
        <v>32317.0</v>
      </c>
      <c r="D1445" s="8" t="str">
        <f>+33.549790°</f>
        <v>#ERROR!</v>
      </c>
      <c r="E1445" s="7" t="s">
        <v>2488</v>
      </c>
    </row>
    <row r="1446">
      <c r="A1446" s="3" t="s">
        <v>2430</v>
      </c>
      <c r="B1446" s="4" t="s">
        <v>342</v>
      </c>
      <c r="C1446" s="5">
        <v>34869.0</v>
      </c>
      <c r="D1446" s="8" t="str">
        <f>+31.535216°</f>
        <v>#ERROR!</v>
      </c>
      <c r="E1446" s="7" t="s">
        <v>2489</v>
      </c>
    </row>
    <row r="1447">
      <c r="A1447" s="3" t="s">
        <v>2430</v>
      </c>
      <c r="B1447" s="4" t="s">
        <v>129</v>
      </c>
      <c r="C1447" s="5">
        <v>59779.0</v>
      </c>
      <c r="D1447" s="8" t="str">
        <f>+33.471424°</f>
        <v>#ERROR!</v>
      </c>
      <c r="E1447" s="7" t="s">
        <v>2490</v>
      </c>
    </row>
    <row r="1448">
      <c r="A1448" s="3" t="s">
        <v>2430</v>
      </c>
      <c r="B1448" s="4" t="s">
        <v>135</v>
      </c>
      <c r="C1448" s="5">
        <v>95203.0</v>
      </c>
      <c r="D1448" s="8" t="str">
        <f>+32.634370°</f>
        <v>#ERROR!</v>
      </c>
      <c r="E1448" s="7" t="s">
        <v>2491</v>
      </c>
    </row>
    <row r="1449">
      <c r="A1449" s="3" t="s">
        <v>2430</v>
      </c>
      <c r="B1449" s="4" t="s">
        <v>141</v>
      </c>
      <c r="C1449" s="5">
        <v>27088.0</v>
      </c>
      <c r="D1449" s="8" t="str">
        <f>+31.230126°</f>
        <v>#ERROR!</v>
      </c>
      <c r="E1449" s="7" t="s">
        <v>2492</v>
      </c>
    </row>
    <row r="1450">
      <c r="A1450" s="3" t="s">
        <v>2430</v>
      </c>
      <c r="B1450" s="4" t="s">
        <v>143</v>
      </c>
      <c r="C1450" s="5">
        <v>37144.0</v>
      </c>
      <c r="D1450" s="8" t="str">
        <f>+34.766190°</f>
        <v>#ERROR!</v>
      </c>
      <c r="E1450" s="7" t="s">
        <v>2493</v>
      </c>
    </row>
    <row r="1451">
      <c r="A1451" s="3" t="s">
        <v>2430</v>
      </c>
      <c r="B1451" s="4" t="s">
        <v>147</v>
      </c>
      <c r="C1451" s="5">
        <v>36989.0</v>
      </c>
      <c r="D1451" s="8" t="str">
        <f>+33.890030°</f>
        <v>#ERROR!</v>
      </c>
      <c r="E1451" s="7" t="s">
        <v>2494</v>
      </c>
    </row>
    <row r="1452">
      <c r="A1452" s="3" t="s">
        <v>2430</v>
      </c>
      <c r="B1452" s="4" t="s">
        <v>149</v>
      </c>
      <c r="C1452" s="5">
        <v>10925.0</v>
      </c>
      <c r="D1452" s="8" t="str">
        <f>+33.500714°</f>
        <v>#ERROR!</v>
      </c>
      <c r="E1452" s="7" t="s">
        <v>2495</v>
      </c>
    </row>
    <row r="1453">
      <c r="A1453" s="3" t="s">
        <v>2430</v>
      </c>
      <c r="B1453" s="4" t="s">
        <v>2496</v>
      </c>
      <c r="C1453" s="5">
        <v>29676.0</v>
      </c>
      <c r="D1453" s="8" t="str">
        <f>+32.752518°</f>
        <v>#ERROR!</v>
      </c>
      <c r="E1453" s="7" t="s">
        <v>2497</v>
      </c>
    </row>
    <row r="1454">
      <c r="A1454" s="3" t="s">
        <v>2430</v>
      </c>
      <c r="B1454" s="4" t="s">
        <v>360</v>
      </c>
      <c r="C1454" s="5">
        <v>21720.0</v>
      </c>
      <c r="D1454" s="8" t="str">
        <f>+32.401970°</f>
        <v>#ERROR!</v>
      </c>
      <c r="E1454" s="7" t="s">
        <v>2498</v>
      </c>
    </row>
    <row r="1455">
      <c r="A1455" s="3" t="s">
        <v>2430</v>
      </c>
      <c r="B1455" s="4" t="s">
        <v>2499</v>
      </c>
      <c r="C1455" s="5">
        <v>11545.0</v>
      </c>
      <c r="D1455" s="8" t="str">
        <f>+33.106270°</f>
        <v>#ERROR!</v>
      </c>
      <c r="E1455" s="7" t="s">
        <v>2500</v>
      </c>
    </row>
    <row r="1456">
      <c r="A1456" s="3" t="s">
        <v>2430</v>
      </c>
      <c r="B1456" s="4" t="s">
        <v>2501</v>
      </c>
      <c r="C1456" s="5">
        <v>47671.0</v>
      </c>
      <c r="D1456" s="8" t="str">
        <f>+33.422313°</f>
        <v>#ERROR!</v>
      </c>
      <c r="E1456" s="7" t="s">
        <v>2502</v>
      </c>
    </row>
    <row r="1457">
      <c r="A1457" s="3" t="s">
        <v>2430</v>
      </c>
      <c r="B1457" s="4" t="s">
        <v>2503</v>
      </c>
      <c r="C1457" s="5">
        <v>34707.0</v>
      </c>
      <c r="D1457" s="8" t="str">
        <f>+34.365205°</f>
        <v>#ERROR!</v>
      </c>
      <c r="E1457" s="7" t="s">
        <v>2504</v>
      </c>
    </row>
    <row r="1458">
      <c r="A1458" s="3" t="s">
        <v>2430</v>
      </c>
      <c r="B1458" s="4" t="s">
        <v>2505</v>
      </c>
      <c r="C1458" s="5">
        <v>55834.0</v>
      </c>
      <c r="D1458" s="8" t="str">
        <f>+30.773791°</f>
        <v>#ERROR!</v>
      </c>
      <c r="E1458" s="7" t="s">
        <v>2506</v>
      </c>
    </row>
    <row r="1459">
      <c r="A1459" s="3" t="s">
        <v>2430</v>
      </c>
      <c r="B1459" s="4" t="s">
        <v>153</v>
      </c>
      <c r="C1459" s="5">
        <v>12250.0</v>
      </c>
      <c r="D1459" s="8" t="str">
        <f>+31.169307°</f>
        <v>#ERROR!</v>
      </c>
      <c r="E1459" s="7" t="s">
        <v>2507</v>
      </c>
    </row>
    <row r="1460">
      <c r="A1460" s="3" t="s">
        <v>2430</v>
      </c>
      <c r="B1460" s="4" t="s">
        <v>157</v>
      </c>
      <c r="C1460" s="5">
        <v>40404.0</v>
      </c>
      <c r="D1460" s="8" t="str">
        <f>+31.177517°</f>
        <v>#ERROR!</v>
      </c>
      <c r="E1460" s="7" t="s">
        <v>2508</v>
      </c>
    </row>
    <row r="1461">
      <c r="A1461" s="3" t="s">
        <v>2430</v>
      </c>
      <c r="B1461" s="4" t="s">
        <v>2509</v>
      </c>
      <c r="C1461" s="5">
        <v>29957.0</v>
      </c>
      <c r="D1461" s="8" t="str">
        <f>+34.227081°</f>
        <v>#ERROR!</v>
      </c>
      <c r="E1461" s="7" t="s">
        <v>2510</v>
      </c>
    </row>
    <row r="1462">
      <c r="A1462" s="3" t="s">
        <v>2430</v>
      </c>
      <c r="B1462" s="4" t="s">
        <v>2511</v>
      </c>
      <c r="C1462" s="5">
        <v>25276.0</v>
      </c>
      <c r="D1462" s="8" t="str">
        <f>+34.620866°</f>
        <v>#ERROR!</v>
      </c>
      <c r="E1462" s="7" t="s">
        <v>2512</v>
      </c>
    </row>
    <row r="1463">
      <c r="A1463" s="3" t="s">
        <v>2430</v>
      </c>
      <c r="B1463" s="4" t="s">
        <v>980</v>
      </c>
      <c r="C1463" s="5">
        <v>8223.0</v>
      </c>
      <c r="D1463" s="8" t="str">
        <f>+34.252640°</f>
        <v>#ERROR!</v>
      </c>
      <c r="E1463" s="7" t="s">
        <v>2513</v>
      </c>
    </row>
    <row r="1464">
      <c r="A1464" s="3" t="s">
        <v>2430</v>
      </c>
      <c r="B1464" s="4" t="s">
        <v>2514</v>
      </c>
      <c r="C1464" s="5">
        <v>141617.0</v>
      </c>
      <c r="D1464" s="8" t="str">
        <f>+32.262057°</f>
        <v>#ERROR!</v>
      </c>
      <c r="E1464" s="7" t="s">
        <v>2515</v>
      </c>
    </row>
    <row r="1465">
      <c r="A1465" s="3" t="s">
        <v>2430</v>
      </c>
      <c r="B1465" s="4" t="s">
        <v>383</v>
      </c>
      <c r="C1465" s="5">
        <v>28264.0</v>
      </c>
      <c r="D1465" s="8" t="str">
        <f>+32.427127°</f>
        <v>#ERROR!</v>
      </c>
      <c r="E1465" s="7" t="s">
        <v>2516</v>
      </c>
    </row>
    <row r="1466">
      <c r="A1466" s="3" t="s">
        <v>2430</v>
      </c>
      <c r="B1466" s="4" t="s">
        <v>2517</v>
      </c>
      <c r="C1466" s="5">
        <v>4916.0</v>
      </c>
      <c r="D1466" s="8" t="str">
        <f>+32.892490°</f>
        <v>#ERROR!</v>
      </c>
      <c r="E1466" s="7" t="s">
        <v>2518</v>
      </c>
    </row>
    <row r="1467">
      <c r="A1467" s="3" t="s">
        <v>2430</v>
      </c>
      <c r="B1467" s="4" t="s">
        <v>1909</v>
      </c>
      <c r="C1467" s="5">
        <v>27503.0</v>
      </c>
      <c r="D1467" s="8" t="str">
        <f>+31.902503°</f>
        <v>#ERROR!</v>
      </c>
      <c r="E1467" s="7" t="s">
        <v>2519</v>
      </c>
    </row>
    <row r="1468">
      <c r="A1468" s="3" t="s">
        <v>2430</v>
      </c>
      <c r="B1468" s="4" t="s">
        <v>1726</v>
      </c>
      <c r="C1468" s="5">
        <v>16491.0</v>
      </c>
      <c r="D1468" s="8" t="str">
        <f>+32.019034°</f>
        <v>#ERROR!</v>
      </c>
      <c r="E1468" s="7" t="s">
        <v>2520</v>
      </c>
    </row>
    <row r="1469">
      <c r="A1469" s="3" t="s">
        <v>2430</v>
      </c>
      <c r="B1469" s="4" t="s">
        <v>393</v>
      </c>
      <c r="C1469" s="5">
        <v>17786.0</v>
      </c>
      <c r="D1469" s="8" t="str">
        <f>+30.790184°</f>
        <v>#ERROR!</v>
      </c>
      <c r="E1469" s="7" t="s">
        <v>2521</v>
      </c>
    </row>
    <row r="1470">
      <c r="A1470" s="3" t="s">
        <v>2430</v>
      </c>
      <c r="B1470" s="4" t="s">
        <v>2522</v>
      </c>
      <c r="C1470" s="5">
        <v>29450.0</v>
      </c>
      <c r="D1470" s="8" t="str">
        <f>+33.605529°</f>
        <v>#ERROR!</v>
      </c>
      <c r="E1470" s="7" t="s">
        <v>2523</v>
      </c>
    </row>
    <row r="1471">
      <c r="A1471" s="3" t="s">
        <v>2430</v>
      </c>
      <c r="B1471" s="4" t="s">
        <v>2524</v>
      </c>
      <c r="C1471" s="5">
        <v>15378.0</v>
      </c>
      <c r="D1471" s="8" t="str">
        <f>+33.955891°</f>
        <v>#ERROR!</v>
      </c>
      <c r="E1471" s="7" t="s">
        <v>2525</v>
      </c>
    </row>
    <row r="1472">
      <c r="A1472" s="3" t="s">
        <v>2430</v>
      </c>
      <c r="B1472" s="4" t="s">
        <v>2526</v>
      </c>
      <c r="C1472" s="5">
        <v>28886.0</v>
      </c>
      <c r="D1472" s="8" t="str">
        <f>+34.649553°</f>
        <v>#ERROR!</v>
      </c>
      <c r="E1472" s="7" t="s">
        <v>2527</v>
      </c>
    </row>
    <row r="1473">
      <c r="A1473" s="3" t="s">
        <v>2430</v>
      </c>
      <c r="B1473" s="4" t="s">
        <v>2528</v>
      </c>
      <c r="C1473" s="5">
        <v>22232.0</v>
      </c>
      <c r="D1473" s="8" t="str">
        <f>+34.763618°</f>
        <v>#ERROR!</v>
      </c>
      <c r="E1473" s="7" t="s">
        <v>2529</v>
      </c>
    </row>
    <row r="1474">
      <c r="A1474" s="3" t="s">
        <v>2430</v>
      </c>
      <c r="B1474" s="4" t="s">
        <v>2530</v>
      </c>
      <c r="C1474" s="5">
        <v>19593.0</v>
      </c>
      <c r="D1474" s="8" t="str">
        <f>+34.737699°</f>
        <v>#ERROR!</v>
      </c>
      <c r="E1474" s="7" t="s">
        <v>2531</v>
      </c>
    </row>
    <row r="1475">
      <c r="A1475" s="3" t="s">
        <v>2430</v>
      </c>
      <c r="B1475" s="4" t="s">
        <v>2532</v>
      </c>
      <c r="C1475" s="5">
        <v>10778.0</v>
      </c>
      <c r="D1475" s="8" t="str">
        <f>+34.652201°</f>
        <v>#ERROR!</v>
      </c>
      <c r="E1475" s="7" t="s">
        <v>2533</v>
      </c>
    </row>
    <row r="1476">
      <c r="A1476" s="3" t="s">
        <v>2430</v>
      </c>
      <c r="B1476" s="4" t="s">
        <v>395</v>
      </c>
      <c r="C1476" s="5">
        <v>27134.0</v>
      </c>
      <c r="D1476" s="8" t="str">
        <f>+34.489101°</f>
        <v>#ERROR!</v>
      </c>
      <c r="E1476" s="7" t="s">
        <v>2534</v>
      </c>
    </row>
    <row r="1477">
      <c r="A1477" s="3" t="s">
        <v>2430</v>
      </c>
      <c r="B1477" s="4" t="s">
        <v>2535</v>
      </c>
      <c r="C1477" s="5">
        <v>15443.0</v>
      </c>
      <c r="D1477" s="8" t="str">
        <f>+31.164492°</f>
        <v>#ERROR!</v>
      </c>
      <c r="E1477" s="7" t="s">
        <v>2536</v>
      </c>
    </row>
    <row r="1478">
      <c r="A1478" s="3" t="s">
        <v>2430</v>
      </c>
      <c r="B1478" s="4" t="s">
        <v>1035</v>
      </c>
      <c r="C1478" s="5">
        <v>48773.0</v>
      </c>
      <c r="D1478" s="8" t="str">
        <f>+32.357005°</f>
        <v>#ERROR!</v>
      </c>
      <c r="E1478" s="7" t="s">
        <v>2537</v>
      </c>
    </row>
    <row r="1479">
      <c r="A1479" s="3" t="s">
        <v>2430</v>
      </c>
      <c r="B1479" s="4" t="s">
        <v>177</v>
      </c>
      <c r="C1479" s="5">
        <v>51137.0</v>
      </c>
      <c r="D1479" s="8" t="str">
        <f>+33.273131°</f>
        <v>#ERROR!</v>
      </c>
      <c r="E1479" s="7" t="s">
        <v>2538</v>
      </c>
    </row>
    <row r="1480">
      <c r="A1480" s="3" t="s">
        <v>2430</v>
      </c>
      <c r="B1480" s="4" t="s">
        <v>1038</v>
      </c>
      <c r="C1480" s="5">
        <v>20747.0</v>
      </c>
      <c r="D1480" s="8" t="str">
        <f>+31.644760°</f>
        <v>#ERROR!</v>
      </c>
      <c r="E1480" s="7" t="s">
        <v>2539</v>
      </c>
    </row>
    <row r="1481">
      <c r="A1481" s="3" t="s">
        <v>2430</v>
      </c>
      <c r="B1481" s="4" t="s">
        <v>1040</v>
      </c>
      <c r="C1481" s="5">
        <v>10253.0</v>
      </c>
      <c r="D1481" s="8" t="str">
        <f>+33.612048°</f>
        <v>#ERROR!</v>
      </c>
      <c r="E1481" s="7" t="s">
        <v>2540</v>
      </c>
    </row>
    <row r="1482">
      <c r="A1482" s="3" t="s">
        <v>2430</v>
      </c>
      <c r="B1482" s="4" t="s">
        <v>1050</v>
      </c>
      <c r="C1482" s="5">
        <v>9878.0</v>
      </c>
      <c r="D1482" s="8" t="str">
        <f>+31.160249°</f>
        <v>#ERROR!</v>
      </c>
      <c r="E1482" s="7" t="s">
        <v>2541</v>
      </c>
    </row>
    <row r="1483">
      <c r="A1483" s="3" t="s">
        <v>2430</v>
      </c>
      <c r="B1483" s="4" t="s">
        <v>181</v>
      </c>
      <c r="C1483" s="5">
        <v>19198.0</v>
      </c>
      <c r="D1483" s="8" t="str">
        <f>+33.078724°</f>
        <v>#ERROR!</v>
      </c>
      <c r="E1483" s="7" t="s">
        <v>2542</v>
      </c>
    </row>
    <row r="1484">
      <c r="A1484" s="3" t="s">
        <v>2430</v>
      </c>
      <c r="B1484" s="4" t="s">
        <v>2543</v>
      </c>
      <c r="C1484" s="5">
        <v>12678.0</v>
      </c>
      <c r="D1484" s="8" t="str">
        <f>+34.030669°</f>
        <v>#ERROR!</v>
      </c>
      <c r="E1484" s="7" t="s">
        <v>2544</v>
      </c>
    </row>
    <row r="1485">
      <c r="A1485" s="3" t="s">
        <v>2430</v>
      </c>
      <c r="B1485" s="4" t="s">
        <v>2545</v>
      </c>
      <c r="C1485" s="5">
        <v>28065.0</v>
      </c>
      <c r="D1485" s="8" t="str">
        <f>+32.765675°</f>
        <v>#ERROR!</v>
      </c>
      <c r="E1485" s="7" t="s">
        <v>2546</v>
      </c>
    </row>
    <row r="1486">
      <c r="A1486" s="3" t="s">
        <v>2547</v>
      </c>
      <c r="B1486" s="4" t="s">
        <v>1435</v>
      </c>
      <c r="C1486" s="5">
        <v>25607.0</v>
      </c>
      <c r="D1486" s="8" t="str">
        <f>+40.190666°</f>
        <v>#ERROR!</v>
      </c>
      <c r="E1486" s="7" t="s">
        <v>2548</v>
      </c>
    </row>
    <row r="1487">
      <c r="A1487" s="3" t="s">
        <v>2547</v>
      </c>
      <c r="B1487" s="4" t="s">
        <v>2549</v>
      </c>
      <c r="C1487" s="5">
        <v>17291.0</v>
      </c>
      <c r="D1487" s="8" t="str">
        <f>+39.988863°</f>
        <v>#ERROR!</v>
      </c>
      <c r="E1487" s="7" t="s">
        <v>2550</v>
      </c>
    </row>
    <row r="1488">
      <c r="A1488" s="3" t="s">
        <v>2547</v>
      </c>
      <c r="B1488" s="4" t="s">
        <v>1583</v>
      </c>
      <c r="C1488" s="5">
        <v>5685.0</v>
      </c>
      <c r="D1488" s="8" t="str">
        <f>+40.431846°</f>
        <v>#ERROR!</v>
      </c>
      <c r="E1488" s="7" t="s">
        <v>2551</v>
      </c>
    </row>
    <row r="1489">
      <c r="A1489" s="3" t="s">
        <v>2547</v>
      </c>
      <c r="B1489" s="4" t="s">
        <v>2552</v>
      </c>
      <c r="C1489" s="5">
        <v>25529.0</v>
      </c>
      <c r="D1489" s="8" t="str">
        <f>+39.214480°</f>
        <v>#ERROR!</v>
      </c>
      <c r="E1489" s="7" t="s">
        <v>2553</v>
      </c>
    </row>
    <row r="1490">
      <c r="A1490" s="3" t="s">
        <v>2547</v>
      </c>
      <c r="B1490" s="4" t="s">
        <v>2150</v>
      </c>
      <c r="C1490" s="5">
        <v>35597.0</v>
      </c>
      <c r="D1490" s="8" t="str">
        <f>+36.699378°</f>
        <v>#ERROR!</v>
      </c>
      <c r="E1490" s="7" t="s">
        <v>2554</v>
      </c>
    </row>
    <row r="1491">
      <c r="A1491" s="3" t="s">
        <v>2547</v>
      </c>
      <c r="B1491" s="4" t="s">
        <v>1587</v>
      </c>
      <c r="C1491" s="5">
        <v>12402.0</v>
      </c>
      <c r="D1491" s="8" t="str">
        <f>+37.500799°</f>
        <v>#ERROR!</v>
      </c>
      <c r="E1491" s="7" t="s">
        <v>2555</v>
      </c>
    </row>
    <row r="1492">
      <c r="A1492" s="3" t="s">
        <v>2547</v>
      </c>
      <c r="B1492" s="4" t="s">
        <v>2556</v>
      </c>
      <c r="C1492" s="5">
        <v>17049.0</v>
      </c>
      <c r="D1492" s="8" t="str">
        <f>+38.257217°</f>
        <v>#ERROR!</v>
      </c>
      <c r="E1492" s="7" t="s">
        <v>2557</v>
      </c>
    </row>
    <row r="1493">
      <c r="A1493" s="3" t="s">
        <v>2547</v>
      </c>
      <c r="B1493" s="4" t="s">
        <v>280</v>
      </c>
      <c r="C1493" s="5">
        <v>19056.0</v>
      </c>
      <c r="D1493" s="8" t="str">
        <f>+38.301036°</f>
        <v>#ERROR!</v>
      </c>
      <c r="E1493" s="7" t="s">
        <v>2558</v>
      </c>
    </row>
    <row r="1494">
      <c r="A1494" s="3" t="s">
        <v>2547</v>
      </c>
      <c r="B1494" s="4" t="s">
        <v>2559</v>
      </c>
      <c r="C1494" s="5">
        <v>12363.0</v>
      </c>
      <c r="D1494" s="8" t="str">
        <f>+37.318349°</f>
        <v>#ERROR!</v>
      </c>
      <c r="E1494" s="7" t="s">
        <v>2560</v>
      </c>
    </row>
    <row r="1495">
      <c r="A1495" s="3" t="s">
        <v>2547</v>
      </c>
      <c r="B1495" s="4" t="s">
        <v>282</v>
      </c>
      <c r="C1495" s="5">
        <v>162642.0</v>
      </c>
      <c r="D1495" s="8" t="str">
        <f>+38.989657°</f>
        <v>#ERROR!</v>
      </c>
      <c r="E1495" s="7" t="s">
        <v>2561</v>
      </c>
    </row>
    <row r="1496">
      <c r="A1496" s="3" t="s">
        <v>2547</v>
      </c>
      <c r="B1496" s="4" t="s">
        <v>1450</v>
      </c>
      <c r="C1496" s="5">
        <v>89201.0</v>
      </c>
      <c r="D1496" s="8" t="str">
        <f>+39.660370°</f>
        <v>#ERROR!</v>
      </c>
      <c r="E1496" s="7" t="s">
        <v>2562</v>
      </c>
    </row>
    <row r="1497">
      <c r="A1497" s="3" t="s">
        <v>2547</v>
      </c>
      <c r="B1497" s="4" t="s">
        <v>24</v>
      </c>
      <c r="C1497" s="5">
        <v>42794.0</v>
      </c>
      <c r="D1497" s="8" t="str">
        <f>+36.715180°</f>
        <v>#ERROR!</v>
      </c>
      <c r="E1497" s="7" t="s">
        <v>2563</v>
      </c>
    </row>
    <row r="1498">
      <c r="A1498" s="3" t="s">
        <v>2547</v>
      </c>
      <c r="B1498" s="4" t="s">
        <v>1779</v>
      </c>
      <c r="C1498" s="5">
        <v>9424.0</v>
      </c>
      <c r="D1498" s="8" t="str">
        <f>+39.658998°</f>
        <v>#ERROR!</v>
      </c>
      <c r="E1498" s="7" t="s">
        <v>2564</v>
      </c>
    </row>
    <row r="1499">
      <c r="A1499" s="3" t="s">
        <v>2547</v>
      </c>
      <c r="B1499" s="4" t="s">
        <v>2565</v>
      </c>
      <c r="C1499" s="5">
        <v>44332.0</v>
      </c>
      <c r="D1499" s="8" t="str">
        <f>+38.835966°</f>
        <v>#ERROR!</v>
      </c>
      <c r="E1499" s="7" t="s">
        <v>2566</v>
      </c>
    </row>
    <row r="1500">
      <c r="A1500" s="3" t="s">
        <v>2547</v>
      </c>
      <c r="B1500" s="4" t="s">
        <v>820</v>
      </c>
      <c r="C1500" s="5">
        <v>44002.0</v>
      </c>
      <c r="D1500" s="8" t="str">
        <f>+38.031995°</f>
        <v>#ERROR!</v>
      </c>
      <c r="E1500" s="7" t="s">
        <v>2567</v>
      </c>
    </row>
    <row r="1501">
      <c r="A1501" s="3" t="s">
        <v>2547</v>
      </c>
      <c r="B1501" s="4" t="s">
        <v>2568</v>
      </c>
      <c r="C1501" s="5">
        <v>75674.0</v>
      </c>
      <c r="D1501" s="8" t="str">
        <f>+37.383882°</f>
        <v>#ERROR!</v>
      </c>
      <c r="E1501" s="7" t="s">
        <v>2569</v>
      </c>
    </row>
    <row r="1502">
      <c r="A1502" s="3" t="s">
        <v>2547</v>
      </c>
      <c r="B1502" s="4" t="s">
        <v>287</v>
      </c>
      <c r="C1502" s="5">
        <v>9295.0</v>
      </c>
      <c r="D1502" s="8" t="str">
        <f>+39.427375°</f>
        <v>#ERROR!</v>
      </c>
      <c r="E1502" s="7" t="s">
        <v>2570</v>
      </c>
    </row>
    <row r="1503">
      <c r="A1503" s="3" t="s">
        <v>2547</v>
      </c>
      <c r="B1503" s="4" t="s">
        <v>1788</v>
      </c>
      <c r="C1503" s="5">
        <v>6265.0</v>
      </c>
      <c r="D1503" s="8" t="str">
        <f>+36.944783°</f>
        <v>#ERROR!</v>
      </c>
      <c r="E1503" s="7" t="s">
        <v>2571</v>
      </c>
    </row>
    <row r="1504">
      <c r="A1504" s="3" t="s">
        <v>2547</v>
      </c>
      <c r="B1504" s="4" t="s">
        <v>1156</v>
      </c>
      <c r="C1504" s="5">
        <v>99478.0</v>
      </c>
      <c r="D1504" s="8" t="str">
        <f>+38.647159°</f>
        <v>#ERROR!</v>
      </c>
      <c r="E1504" s="7" t="s">
        <v>2572</v>
      </c>
    </row>
    <row r="1505">
      <c r="A1505" s="3" t="s">
        <v>2547</v>
      </c>
      <c r="B1505" s="4" t="s">
        <v>1458</v>
      </c>
      <c r="C1505" s="5">
        <v>13982.0</v>
      </c>
      <c r="D1505" s="8" t="str">
        <f>+37.733655°</f>
        <v>#ERROR!</v>
      </c>
      <c r="E1505" s="7" t="s">
        <v>2573</v>
      </c>
    </row>
    <row r="1506">
      <c r="A1506" s="3" t="s">
        <v>2547</v>
      </c>
      <c r="B1506" s="4" t="s">
        <v>2574</v>
      </c>
      <c r="C1506" s="5">
        <v>7831.0</v>
      </c>
      <c r="D1506" s="8" t="str">
        <f>+39.517969°</f>
        <v>#ERROR!</v>
      </c>
      <c r="E1506" s="7" t="s">
        <v>2575</v>
      </c>
    </row>
    <row r="1507">
      <c r="A1507" s="3" t="s">
        <v>2547</v>
      </c>
      <c r="B1507" s="4" t="s">
        <v>1160</v>
      </c>
      <c r="C1507" s="5">
        <v>77422.0</v>
      </c>
      <c r="D1507" s="8" t="str">
        <f>+36.969739°</f>
        <v>#ERROR!</v>
      </c>
      <c r="E1507" s="7" t="s">
        <v>2576</v>
      </c>
    </row>
    <row r="1508">
      <c r="A1508" s="3" t="s">
        <v>2547</v>
      </c>
      <c r="B1508" s="4" t="s">
        <v>291</v>
      </c>
      <c r="C1508" s="5">
        <v>7139.0</v>
      </c>
      <c r="D1508" s="8" t="str">
        <f>+40.407275°</f>
        <v>#ERROR!</v>
      </c>
      <c r="E1508" s="7" t="s">
        <v>2577</v>
      </c>
    </row>
    <row r="1509">
      <c r="A1509" s="3" t="s">
        <v>2547</v>
      </c>
      <c r="B1509" s="4" t="s">
        <v>42</v>
      </c>
      <c r="C1509" s="5">
        <v>221939.0</v>
      </c>
      <c r="D1509" s="8" t="str">
        <f>+39.315551°</f>
        <v>#ERROR!</v>
      </c>
      <c r="E1509" s="7" t="s">
        <v>2578</v>
      </c>
    </row>
    <row r="1510">
      <c r="A1510" s="3" t="s">
        <v>2547</v>
      </c>
      <c r="B1510" s="4" t="s">
        <v>1164</v>
      </c>
      <c r="C1510" s="5">
        <v>20743.0</v>
      </c>
      <c r="D1510" s="8" t="str">
        <f>+39.608723°</f>
        <v>#ERROR!</v>
      </c>
      <c r="E1510" s="7" t="s">
        <v>2579</v>
      </c>
    </row>
    <row r="1511">
      <c r="A1511" s="3" t="s">
        <v>2547</v>
      </c>
      <c r="B1511" s="4" t="s">
        <v>2580</v>
      </c>
      <c r="C1511" s="5">
        <v>75990.0</v>
      </c>
      <c r="D1511" s="8" t="str">
        <f>+38.506847°</f>
        <v>#ERROR!</v>
      </c>
      <c r="E1511" s="7" t="s">
        <v>2581</v>
      </c>
    </row>
    <row r="1512">
      <c r="A1512" s="3" t="s">
        <v>2547</v>
      </c>
      <c r="B1512" s="4" t="s">
        <v>2582</v>
      </c>
      <c r="C1512" s="5">
        <v>17601.0</v>
      </c>
      <c r="D1512" s="8" t="str">
        <f>+38.845386°</f>
        <v>#ERROR!</v>
      </c>
      <c r="E1512" s="7" t="s">
        <v>2583</v>
      </c>
    </row>
    <row r="1513">
      <c r="A1513" s="3" t="s">
        <v>2547</v>
      </c>
      <c r="B1513" s="4" t="s">
        <v>303</v>
      </c>
      <c r="C1513" s="5">
        <v>24696.0</v>
      </c>
      <c r="D1513" s="8" t="str">
        <f>+37.966561°</f>
        <v>#ERROR!</v>
      </c>
      <c r="E1513" s="7" t="s">
        <v>2584</v>
      </c>
    </row>
    <row r="1514">
      <c r="A1514" s="3" t="s">
        <v>2547</v>
      </c>
      <c r="B1514" s="4" t="s">
        <v>856</v>
      </c>
      <c r="C1514" s="5">
        <v>7883.0</v>
      </c>
      <c r="D1514" s="8" t="str">
        <f>+37.432350°</f>
        <v>#ERROR!</v>
      </c>
      <c r="E1514" s="7" t="s">
        <v>2585</v>
      </c>
    </row>
    <row r="1515">
      <c r="A1515" s="3" t="s">
        <v>2547</v>
      </c>
      <c r="B1515" s="4" t="s">
        <v>72</v>
      </c>
      <c r="C1515" s="5">
        <v>16777.0</v>
      </c>
      <c r="D1515" s="8" t="str">
        <f>+37.683583°</f>
        <v>#ERROR!</v>
      </c>
      <c r="E1515" s="7" t="s">
        <v>2586</v>
      </c>
    </row>
    <row r="1516">
      <c r="A1516" s="3" t="s">
        <v>2547</v>
      </c>
      <c r="B1516" s="4" t="s">
        <v>1317</v>
      </c>
      <c r="C1516" s="5">
        <v>8433.0</v>
      </c>
      <c r="D1516" s="8" t="str">
        <f>+39.962839°</f>
        <v>#ERROR!</v>
      </c>
      <c r="E1516" s="7" t="s">
        <v>2587</v>
      </c>
    </row>
    <row r="1517">
      <c r="A1517" s="3" t="s">
        <v>2547</v>
      </c>
      <c r="B1517" s="4" t="s">
        <v>75</v>
      </c>
      <c r="C1517" s="5">
        <v>12892.0</v>
      </c>
      <c r="D1517" s="8" t="str">
        <f>+39.894665°</f>
        <v>#ERROR!</v>
      </c>
      <c r="E1517" s="7" t="s">
        <v>2588</v>
      </c>
    </row>
    <row r="1518">
      <c r="A1518" s="3" t="s">
        <v>2547</v>
      </c>
      <c r="B1518" s="4" t="s">
        <v>2589</v>
      </c>
      <c r="C1518" s="5">
        <v>15657.0</v>
      </c>
      <c r="D1518" s="8" t="str">
        <f>+37.603250°</f>
        <v>#ERROR!</v>
      </c>
      <c r="E1518" s="7" t="s">
        <v>2590</v>
      </c>
    </row>
    <row r="1519">
      <c r="A1519" s="3" t="s">
        <v>2547</v>
      </c>
      <c r="B1519" s="4" t="s">
        <v>558</v>
      </c>
      <c r="C1519" s="5">
        <v>13684.0</v>
      </c>
      <c r="D1519" s="8" t="str">
        <f>+36.946517°</f>
        <v>#ERROR!</v>
      </c>
      <c r="E1519" s="7" t="s">
        <v>2591</v>
      </c>
    </row>
    <row r="1520">
      <c r="A1520" s="3" t="s">
        <v>2547</v>
      </c>
      <c r="B1520" s="4" t="s">
        <v>2592</v>
      </c>
      <c r="C1520" s="5">
        <v>31953.0</v>
      </c>
      <c r="D1520" s="8" t="str">
        <f>+36.153025°</f>
        <v>#ERROR!</v>
      </c>
      <c r="E1520" s="7" t="s">
        <v>2593</v>
      </c>
    </row>
    <row r="1521">
      <c r="A1521" s="3" t="s">
        <v>2547</v>
      </c>
      <c r="B1521" s="4" t="s">
        <v>90</v>
      </c>
      <c r="C1521" s="5">
        <v>101492.0</v>
      </c>
      <c r="D1521" s="8" t="str">
        <f>+38.408313°</f>
        <v>#ERROR!</v>
      </c>
      <c r="E1521" s="7" t="s">
        <v>2594</v>
      </c>
    </row>
    <row r="1522">
      <c r="A1522" s="3" t="s">
        <v>2547</v>
      </c>
      <c r="B1522" s="4" t="s">
        <v>2595</v>
      </c>
      <c r="C1522" s="5">
        <v>15222.0</v>
      </c>
      <c r="D1522" s="8" t="str">
        <f>+38.441183°</f>
        <v>#ERROR!</v>
      </c>
      <c r="E1522" s="7" t="s">
        <v>2596</v>
      </c>
    </row>
    <row r="1523">
      <c r="A1523" s="3" t="s">
        <v>2547</v>
      </c>
      <c r="B1523" s="4" t="s">
        <v>2597</v>
      </c>
      <c r="C1523" s="5">
        <v>6738.0</v>
      </c>
      <c r="D1523" s="8" t="str">
        <f>+40.209379°</f>
        <v>#ERROR!</v>
      </c>
      <c r="E1523" s="7" t="s">
        <v>2598</v>
      </c>
    </row>
    <row r="1524">
      <c r="A1524" s="3" t="s">
        <v>2547</v>
      </c>
      <c r="B1524" s="4" t="s">
        <v>96</v>
      </c>
      <c r="C1524" s="5">
        <v>275174.0</v>
      </c>
      <c r="D1524" s="8" t="str">
        <f>+37.258196°</f>
        <v>#ERROR!</v>
      </c>
      <c r="E1524" s="7" t="s">
        <v>2599</v>
      </c>
    </row>
    <row r="1525">
      <c r="A1525" s="3" t="s">
        <v>2547</v>
      </c>
      <c r="B1525" s="4" t="s">
        <v>1191</v>
      </c>
      <c r="C1525" s="5">
        <v>10261.0</v>
      </c>
      <c r="D1525" s="8" t="str">
        <f>+40.112541°</f>
        <v>#ERROR!</v>
      </c>
      <c r="E1525" s="7" t="s">
        <v>2600</v>
      </c>
    </row>
    <row r="1526">
      <c r="A1526" s="3" t="s">
        <v>2547</v>
      </c>
      <c r="B1526" s="4" t="s">
        <v>1341</v>
      </c>
      <c r="C1526" s="5">
        <v>8957.0</v>
      </c>
      <c r="D1526" s="8" t="str">
        <f>+40.345620°</f>
        <v>#ERROR!</v>
      </c>
      <c r="E1526" s="7" t="s">
        <v>2601</v>
      </c>
    </row>
    <row r="1527">
      <c r="A1527" s="3" t="s">
        <v>2547</v>
      </c>
      <c r="B1527" s="4" t="s">
        <v>102</v>
      </c>
      <c r="C1527" s="5">
        <v>22272.0</v>
      </c>
      <c r="D1527" s="8" t="str">
        <f>+38.386491°</f>
        <v>#ERROR!</v>
      </c>
      <c r="E1527" s="7" t="s">
        <v>2602</v>
      </c>
    </row>
    <row r="1528">
      <c r="A1528" s="3" t="s">
        <v>2547</v>
      </c>
      <c r="B1528" s="4" t="s">
        <v>2603</v>
      </c>
      <c r="C1528" s="5">
        <v>9627.0</v>
      </c>
      <c r="D1528" s="8" t="str">
        <f>+37.936700°</f>
        <v>#ERROR!</v>
      </c>
      <c r="E1528" s="7" t="s">
        <v>2604</v>
      </c>
    </row>
    <row r="1529">
      <c r="A1529" s="3" t="s">
        <v>2547</v>
      </c>
      <c r="B1529" s="4" t="s">
        <v>2605</v>
      </c>
      <c r="C1529" s="5">
        <v>4912.0</v>
      </c>
      <c r="D1529" s="8" t="str">
        <f>+40.095724°</f>
        <v>#ERROR!</v>
      </c>
      <c r="E1529" s="7" t="s">
        <v>2606</v>
      </c>
    </row>
    <row r="1530">
      <c r="A1530" s="3" t="s">
        <v>2547</v>
      </c>
      <c r="B1530" s="4" t="s">
        <v>328</v>
      </c>
      <c r="C1530" s="5">
        <v>10144.0</v>
      </c>
      <c r="D1530" s="8" t="str">
        <f>+39.143365°</f>
        <v>#ERROR!</v>
      </c>
      <c r="E1530" s="7" t="s">
        <v>2607</v>
      </c>
    </row>
    <row r="1531">
      <c r="A1531" s="3" t="s">
        <v>2547</v>
      </c>
      <c r="B1531" s="4" t="s">
        <v>2608</v>
      </c>
      <c r="C1531" s="5">
        <v>40400.0</v>
      </c>
      <c r="D1531" s="8" t="str">
        <f>+36.774369°</f>
        <v>#ERROR!</v>
      </c>
      <c r="E1531" s="7" t="s">
        <v>2609</v>
      </c>
    </row>
    <row r="1532">
      <c r="A1532" s="3" t="s">
        <v>2547</v>
      </c>
      <c r="B1532" s="4" t="s">
        <v>2197</v>
      </c>
      <c r="C1532" s="5">
        <v>10630.0</v>
      </c>
      <c r="D1532" s="8" t="str">
        <f>+37.625960°</f>
        <v>#ERROR!</v>
      </c>
      <c r="E1532" s="7" t="s">
        <v>2610</v>
      </c>
    </row>
    <row r="1533">
      <c r="A1533" s="3" t="s">
        <v>2547</v>
      </c>
      <c r="B1533" s="4" t="s">
        <v>108</v>
      </c>
      <c r="C1533" s="5">
        <v>674158.0</v>
      </c>
      <c r="D1533" s="8" t="str">
        <f>+39.007233°</f>
        <v>#ERROR!</v>
      </c>
      <c r="E1533" s="7" t="s">
        <v>2611</v>
      </c>
    </row>
    <row r="1534">
      <c r="A1534" s="3" t="s">
        <v>2547</v>
      </c>
      <c r="B1534" s="4" t="s">
        <v>922</v>
      </c>
      <c r="C1534" s="5">
        <v>117404.0</v>
      </c>
      <c r="D1534" s="8" t="str">
        <f>+37.200865°</f>
        <v>#ERROR!</v>
      </c>
      <c r="E1534" s="7" t="s">
        <v>2612</v>
      </c>
    </row>
    <row r="1535">
      <c r="A1535" s="3" t="s">
        <v>2547</v>
      </c>
      <c r="B1535" s="4" t="s">
        <v>111</v>
      </c>
      <c r="C1535" s="5">
        <v>218733.0</v>
      </c>
      <c r="D1535" s="8" t="str">
        <f>+38.257414°</f>
        <v>#ERROR!</v>
      </c>
      <c r="E1535" s="7" t="s">
        <v>2613</v>
      </c>
    </row>
    <row r="1536">
      <c r="A1536" s="3" t="s">
        <v>2547</v>
      </c>
      <c r="B1536" s="4" t="s">
        <v>336</v>
      </c>
      <c r="C1536" s="5">
        <v>52595.0</v>
      </c>
      <c r="D1536" s="8" t="str">
        <f>+38.745880°</f>
        <v>#ERROR!</v>
      </c>
      <c r="E1536" s="7" t="s">
        <v>2614</v>
      </c>
    </row>
    <row r="1537">
      <c r="A1537" s="3" t="s">
        <v>2547</v>
      </c>
      <c r="B1537" s="4" t="s">
        <v>1216</v>
      </c>
      <c r="C1537" s="5">
        <v>4131.0</v>
      </c>
      <c r="D1537" s="8" t="str">
        <f>+40.136776°</f>
        <v>#ERROR!</v>
      </c>
      <c r="E1537" s="7" t="s">
        <v>2615</v>
      </c>
    </row>
    <row r="1538">
      <c r="A1538" s="3" t="s">
        <v>2547</v>
      </c>
      <c r="B1538" s="4" t="s">
        <v>2616</v>
      </c>
      <c r="C1538" s="5">
        <v>35571.0</v>
      </c>
      <c r="D1538" s="8" t="str">
        <f>+37.659690°</f>
        <v>#ERROR!</v>
      </c>
      <c r="E1538" s="7" t="s">
        <v>2617</v>
      </c>
    </row>
    <row r="1539">
      <c r="A1539" s="3" t="s">
        <v>2547</v>
      </c>
      <c r="B1539" s="4" t="s">
        <v>338</v>
      </c>
      <c r="C1539" s="5">
        <v>33381.0</v>
      </c>
      <c r="D1539" s="8" t="str">
        <f>+39.068705°</f>
        <v>#ERROR!</v>
      </c>
      <c r="E1539" s="7" t="s">
        <v>2618</v>
      </c>
    </row>
    <row r="1540">
      <c r="A1540" s="3" t="s">
        <v>2547</v>
      </c>
      <c r="B1540" s="4" t="s">
        <v>120</v>
      </c>
      <c r="C1540" s="5">
        <v>38634.0</v>
      </c>
      <c r="D1540" s="8" t="str">
        <f>+37.106135°</f>
        <v>#ERROR!</v>
      </c>
      <c r="E1540" s="7" t="s">
        <v>2619</v>
      </c>
    </row>
    <row r="1541">
      <c r="A1541" s="3" t="s">
        <v>2547</v>
      </c>
      <c r="B1541" s="4" t="s">
        <v>1118</v>
      </c>
      <c r="C1541" s="5">
        <v>10211.0</v>
      </c>
      <c r="D1541" s="8" t="str">
        <f>+40.084559°</f>
        <v>#ERROR!</v>
      </c>
      <c r="E1541" s="7" t="s">
        <v>2620</v>
      </c>
    </row>
    <row r="1542">
      <c r="A1542" s="3" t="s">
        <v>2547</v>
      </c>
      <c r="B1542" s="4" t="s">
        <v>342</v>
      </c>
      <c r="C1542" s="5">
        <v>52566.0</v>
      </c>
      <c r="D1542" s="8" t="str">
        <f>+39.058568°</f>
        <v>#ERROR!</v>
      </c>
      <c r="E1542" s="7" t="s">
        <v>2621</v>
      </c>
    </row>
    <row r="1543">
      <c r="A1543" s="3" t="s">
        <v>2547</v>
      </c>
      <c r="B1543" s="4" t="s">
        <v>1512</v>
      </c>
      <c r="C1543" s="5">
        <v>12761.0</v>
      </c>
      <c r="D1543" s="8" t="str">
        <f>+39.864440°</f>
        <v>#ERROR!</v>
      </c>
      <c r="E1543" s="7" t="s">
        <v>2622</v>
      </c>
    </row>
    <row r="1544">
      <c r="A1544" s="3" t="s">
        <v>2547</v>
      </c>
      <c r="B1544" s="4" t="s">
        <v>1223</v>
      </c>
      <c r="C1544" s="5">
        <v>15195.0</v>
      </c>
      <c r="D1544" s="8" t="str">
        <f>+39.778587°</f>
        <v>#ERROR!</v>
      </c>
      <c r="E1544" s="7" t="s">
        <v>2623</v>
      </c>
    </row>
    <row r="1545">
      <c r="A1545" s="3" t="s">
        <v>2547</v>
      </c>
      <c r="B1545" s="4" t="s">
        <v>2624</v>
      </c>
      <c r="C1545" s="5">
        <v>23083.0</v>
      </c>
      <c r="D1545" s="8" t="str">
        <f>+36.630218°</f>
        <v>#ERROR!</v>
      </c>
      <c r="E1545" s="7" t="s">
        <v>2625</v>
      </c>
    </row>
    <row r="1546">
      <c r="A1546" s="3" t="s">
        <v>2547</v>
      </c>
      <c r="B1546" s="4" t="s">
        <v>132</v>
      </c>
      <c r="C1546" s="5">
        <v>15566.0</v>
      </c>
      <c r="D1546" s="8" t="str">
        <f>+39.829795°</f>
        <v>#ERROR!</v>
      </c>
      <c r="E1546" s="7" t="s">
        <v>2626</v>
      </c>
    </row>
    <row r="1547">
      <c r="A1547" s="3" t="s">
        <v>2547</v>
      </c>
      <c r="B1547" s="4" t="s">
        <v>135</v>
      </c>
      <c r="C1547" s="5">
        <v>12226.0</v>
      </c>
      <c r="D1547" s="8" t="str">
        <f>+37.473235°</f>
        <v>#ERROR!</v>
      </c>
      <c r="E1547" s="7" t="s">
        <v>2627</v>
      </c>
    </row>
    <row r="1548">
      <c r="A1548" s="3" t="s">
        <v>2547</v>
      </c>
      <c r="B1548" s="4" t="s">
        <v>2628</v>
      </c>
      <c r="C1548" s="5">
        <v>9176.0</v>
      </c>
      <c r="D1548" s="8" t="str">
        <f>+38.162615°</f>
        <v>#ERROR!</v>
      </c>
      <c r="E1548" s="7" t="s">
        <v>2629</v>
      </c>
    </row>
    <row r="1549">
      <c r="A1549" s="3" t="s">
        <v>2547</v>
      </c>
      <c r="B1549" s="4" t="s">
        <v>141</v>
      </c>
      <c r="C1549" s="5">
        <v>28781.0</v>
      </c>
      <c r="D1549" s="8" t="str">
        <f>+39.807538°</f>
        <v>#ERROR!</v>
      </c>
      <c r="E1549" s="7" t="s">
        <v>2630</v>
      </c>
    </row>
    <row r="1550">
      <c r="A1550" s="3" t="s">
        <v>2547</v>
      </c>
      <c r="B1550" s="4" t="s">
        <v>1244</v>
      </c>
      <c r="C1550" s="5">
        <v>3785.0</v>
      </c>
      <c r="D1550" s="8" t="str">
        <f>+40.421414°</f>
        <v>#ERROR!</v>
      </c>
      <c r="E1550" s="7" t="s">
        <v>2631</v>
      </c>
    </row>
    <row r="1551">
      <c r="A1551" s="3" t="s">
        <v>2547</v>
      </c>
      <c r="B1551" s="4" t="s">
        <v>352</v>
      </c>
      <c r="C1551" s="5">
        <v>24748.0</v>
      </c>
      <c r="D1551" s="8" t="str">
        <f>+38.216720°</f>
        <v>#ERROR!</v>
      </c>
      <c r="E1551" s="7" t="s">
        <v>2632</v>
      </c>
    </row>
    <row r="1552">
      <c r="A1552" s="3" t="s">
        <v>2547</v>
      </c>
      <c r="B1552" s="4" t="s">
        <v>354</v>
      </c>
      <c r="C1552" s="5">
        <v>14358.0</v>
      </c>
      <c r="D1552" s="8" t="str">
        <f>+36.826264°</f>
        <v>#ERROR!</v>
      </c>
      <c r="E1552" s="7" t="s">
        <v>2633</v>
      </c>
    </row>
    <row r="1553">
      <c r="A1553" s="3" t="s">
        <v>2547</v>
      </c>
      <c r="B1553" s="4" t="s">
        <v>2634</v>
      </c>
      <c r="C1553" s="5">
        <v>15607.0</v>
      </c>
      <c r="D1553" s="8" t="str">
        <f>+38.633037°</f>
        <v>#ERROR!</v>
      </c>
      <c r="E1553" s="7" t="s">
        <v>2635</v>
      </c>
    </row>
    <row r="1554">
      <c r="A1554" s="3" t="s">
        <v>2547</v>
      </c>
      <c r="B1554" s="4" t="s">
        <v>147</v>
      </c>
      <c r="C1554" s="5">
        <v>8840.0</v>
      </c>
      <c r="D1554" s="8" t="str">
        <f>+39.498270°</f>
        <v>#ERROR!</v>
      </c>
      <c r="E1554" s="7" t="s">
        <v>2636</v>
      </c>
    </row>
    <row r="1555">
      <c r="A1555" s="3" t="s">
        <v>2547</v>
      </c>
      <c r="B1555" s="4" t="s">
        <v>149</v>
      </c>
      <c r="C1555" s="5">
        <v>12236.0</v>
      </c>
      <c r="D1555" s="8" t="str">
        <f>+38.935162°</f>
        <v>#ERROR!</v>
      </c>
      <c r="E1555" s="7" t="s">
        <v>2637</v>
      </c>
    </row>
    <row r="1556">
      <c r="A1556" s="3" t="s">
        <v>2547</v>
      </c>
      <c r="B1556" s="4" t="s">
        <v>151</v>
      </c>
      <c r="C1556" s="5">
        <v>20565.0</v>
      </c>
      <c r="D1556" s="8" t="str">
        <f>+38.420807°</f>
        <v>#ERROR!</v>
      </c>
      <c r="E1556" s="7" t="s">
        <v>2638</v>
      </c>
    </row>
    <row r="1557">
      <c r="A1557" s="3" t="s">
        <v>2547</v>
      </c>
      <c r="B1557" s="4" t="s">
        <v>2639</v>
      </c>
      <c r="C1557" s="5">
        <v>18956.0</v>
      </c>
      <c r="D1557" s="8" t="str">
        <f>+36.594261°</f>
        <v>#ERROR!</v>
      </c>
      <c r="E1557" s="7" t="s">
        <v>2640</v>
      </c>
    </row>
    <row r="1558">
      <c r="A1558" s="3" t="s">
        <v>2547</v>
      </c>
      <c r="B1558" s="4" t="s">
        <v>360</v>
      </c>
      <c r="C1558" s="5">
        <v>58114.0</v>
      </c>
      <c r="D1558" s="8" t="str">
        <f>+36.908017°</f>
        <v>#ERROR!</v>
      </c>
      <c r="E1558" s="7" t="s">
        <v>2641</v>
      </c>
    </row>
    <row r="1559">
      <c r="A1559" s="3" t="s">
        <v>2547</v>
      </c>
      <c r="B1559" s="4" t="s">
        <v>2642</v>
      </c>
      <c r="C1559" s="5">
        <v>23370.0</v>
      </c>
      <c r="D1559" s="8" t="str">
        <f>+40.360484°</f>
        <v>#ERROR!</v>
      </c>
      <c r="E1559" s="7" t="s">
        <v>2643</v>
      </c>
    </row>
    <row r="1560">
      <c r="A1560" s="3" t="s">
        <v>2547</v>
      </c>
      <c r="B1560" s="4" t="s">
        <v>2644</v>
      </c>
      <c r="C1560" s="5">
        <v>10881.0</v>
      </c>
      <c r="D1560" s="8" t="str">
        <f>+36.684867°</f>
        <v>#ERROR!</v>
      </c>
      <c r="E1560" s="7" t="s">
        <v>2645</v>
      </c>
    </row>
    <row r="1561">
      <c r="A1561" s="3" t="s">
        <v>2547</v>
      </c>
      <c r="B1561" s="4" t="s">
        <v>1688</v>
      </c>
      <c r="C1561" s="5">
        <v>13878.0</v>
      </c>
      <c r="D1561" s="8" t="str">
        <f>+38.464254°</f>
        <v>#ERROR!</v>
      </c>
      <c r="E1561" s="7" t="s">
        <v>2646</v>
      </c>
    </row>
    <row r="1562">
      <c r="A1562" s="3" t="s">
        <v>2547</v>
      </c>
      <c r="B1562" s="4" t="s">
        <v>2647</v>
      </c>
      <c r="C1562" s="5">
        <v>9723.0</v>
      </c>
      <c r="D1562" s="8" t="str">
        <f>+36.649643°</f>
        <v>#ERROR!</v>
      </c>
      <c r="E1562" s="7" t="s">
        <v>2648</v>
      </c>
    </row>
    <row r="1563">
      <c r="A1563" s="3" t="s">
        <v>2547</v>
      </c>
      <c r="B1563" s="4" t="s">
        <v>2649</v>
      </c>
      <c r="C1563" s="5">
        <v>18296.0</v>
      </c>
      <c r="D1563" s="8" t="str">
        <f>+36.209916°</f>
        <v>#ERROR!</v>
      </c>
      <c r="E1563" s="7" t="s">
        <v>2650</v>
      </c>
    </row>
    <row r="1564">
      <c r="A1564" s="3" t="s">
        <v>2547</v>
      </c>
      <c r="B1564" s="4" t="s">
        <v>153</v>
      </c>
      <c r="C1564" s="5">
        <v>18971.0</v>
      </c>
      <c r="D1564" s="8" t="str">
        <f>+37.711130°</f>
        <v>#ERROR!</v>
      </c>
      <c r="E1564" s="7" t="s">
        <v>2651</v>
      </c>
    </row>
    <row r="1565">
      <c r="A1565" s="3" t="s">
        <v>2547</v>
      </c>
      <c r="B1565" s="4" t="s">
        <v>2652</v>
      </c>
      <c r="C1565" s="5">
        <v>42201.0</v>
      </c>
      <c r="D1565" s="8" t="str">
        <f>+38.727367°</f>
        <v>#ERROR!</v>
      </c>
      <c r="E1565" s="7" t="s">
        <v>2653</v>
      </c>
    </row>
    <row r="1566">
      <c r="A1566" s="3" t="s">
        <v>2547</v>
      </c>
      <c r="B1566" s="4" t="s">
        <v>2654</v>
      </c>
      <c r="C1566" s="5">
        <v>45156.0</v>
      </c>
      <c r="D1566" s="8" t="str">
        <f>+37.866326°</f>
        <v>#ERROR!</v>
      </c>
      <c r="E1566" s="7" t="s">
        <v>2655</v>
      </c>
    </row>
    <row r="1567">
      <c r="A1567" s="3" t="s">
        <v>2547</v>
      </c>
      <c r="B1567" s="4" t="s">
        <v>157</v>
      </c>
      <c r="C1567" s="5">
        <v>18516.0</v>
      </c>
      <c r="D1567" s="8" t="str">
        <f>+39.344178°</f>
        <v>#ERROR!</v>
      </c>
      <c r="E1567" s="7" t="s">
        <v>2656</v>
      </c>
    </row>
    <row r="1568">
      <c r="A1568" s="3" t="s">
        <v>2547</v>
      </c>
      <c r="B1568" s="4" t="s">
        <v>2657</v>
      </c>
      <c r="C1568" s="5">
        <v>89322.0</v>
      </c>
      <c r="D1568" s="8" t="str">
        <f>+39.378696°</f>
        <v>#ERROR!</v>
      </c>
      <c r="E1568" s="7" t="s">
        <v>2658</v>
      </c>
    </row>
    <row r="1569">
      <c r="A1569" s="3" t="s">
        <v>2547</v>
      </c>
      <c r="B1569" s="4" t="s">
        <v>370</v>
      </c>
      <c r="C1569" s="5">
        <v>31137.0</v>
      </c>
      <c r="D1569" s="8" t="str">
        <f>+37.616761°</f>
        <v>#ERROR!</v>
      </c>
      <c r="E1569" s="7" t="s">
        <v>2659</v>
      </c>
    </row>
    <row r="1570">
      <c r="A1570" s="3" t="s">
        <v>2547</v>
      </c>
      <c r="B1570" s="4" t="s">
        <v>376</v>
      </c>
      <c r="C1570" s="5">
        <v>52274.0</v>
      </c>
      <c r="D1570" s="8" t="str">
        <f>+37.824835°</f>
        <v>#ERROR!</v>
      </c>
      <c r="E1570" s="7" t="s">
        <v>2660</v>
      </c>
    </row>
    <row r="1571">
      <c r="A1571" s="3" t="s">
        <v>2547</v>
      </c>
      <c r="B1571" s="4" t="s">
        <v>760</v>
      </c>
      <c r="C1571" s="5">
        <v>4979.0</v>
      </c>
      <c r="D1571" s="8" t="str">
        <f>+40.478606°</f>
        <v>#ERROR!</v>
      </c>
      <c r="E1571" s="7" t="s">
        <v>2661</v>
      </c>
    </row>
    <row r="1572">
      <c r="A1572" s="3" t="s">
        <v>2547</v>
      </c>
      <c r="B1572" s="4" t="s">
        <v>2662</v>
      </c>
      <c r="C1572" s="5">
        <v>10167.0</v>
      </c>
      <c r="D1572" s="8" t="str">
        <f>+39.553455°</f>
        <v>#ERROR!</v>
      </c>
      <c r="E1572" s="7" t="s">
        <v>2663</v>
      </c>
    </row>
    <row r="1573">
      <c r="A1573" s="3" t="s">
        <v>2547</v>
      </c>
      <c r="B1573" s="4" t="s">
        <v>159</v>
      </c>
      <c r="C1573" s="5">
        <v>25414.0</v>
      </c>
      <c r="D1573" s="8" t="str">
        <f>+39.441601°</f>
        <v>#ERROR!</v>
      </c>
      <c r="E1573" s="7" t="s">
        <v>2664</v>
      </c>
    </row>
    <row r="1574">
      <c r="A1574" s="3" t="s">
        <v>2547</v>
      </c>
      <c r="B1574" s="4" t="s">
        <v>2665</v>
      </c>
      <c r="C1574" s="5">
        <v>23494.0</v>
      </c>
      <c r="D1574" s="8" t="str">
        <f>+39.308401°</f>
        <v>#ERROR!</v>
      </c>
      <c r="E1574" s="7" t="s">
        <v>2666</v>
      </c>
    </row>
    <row r="1575">
      <c r="A1575" s="3" t="s">
        <v>2547</v>
      </c>
      <c r="B1575" s="4" t="s">
        <v>2667</v>
      </c>
      <c r="C1575" s="5">
        <v>6696.0</v>
      </c>
      <c r="D1575" s="8" t="str">
        <f>+37.360857°</f>
        <v>#ERROR!</v>
      </c>
      <c r="E1575" s="7" t="s">
        <v>2668</v>
      </c>
    </row>
    <row r="1576">
      <c r="A1576" s="3" t="s">
        <v>2547</v>
      </c>
      <c r="B1576" s="4" t="s">
        <v>1394</v>
      </c>
      <c r="C1576" s="5">
        <v>14100.0</v>
      </c>
      <c r="D1576" s="8" t="str">
        <f>+36.648902°</f>
        <v>#ERROR!</v>
      </c>
      <c r="E1576" s="7" t="s">
        <v>2669</v>
      </c>
    </row>
    <row r="1577">
      <c r="A1577" s="3" t="s">
        <v>2547</v>
      </c>
      <c r="B1577" s="4" t="s">
        <v>2004</v>
      </c>
      <c r="C1577" s="5">
        <v>360485.0</v>
      </c>
      <c r="D1577" s="8" t="str">
        <f>+38.781102°</f>
        <v>#ERROR!</v>
      </c>
      <c r="E1577" s="7" t="s">
        <v>2670</v>
      </c>
    </row>
    <row r="1578">
      <c r="A1578" s="3" t="s">
        <v>2547</v>
      </c>
      <c r="B1578" s="4" t="s">
        <v>163</v>
      </c>
      <c r="C1578" s="5">
        <v>9805.0</v>
      </c>
      <c r="D1578" s="8" t="str">
        <f>+38.039069°</f>
        <v>#ERROR!</v>
      </c>
      <c r="E1578" s="7" t="s">
        <v>2671</v>
      </c>
    </row>
    <row r="1579">
      <c r="A1579" s="3" t="s">
        <v>2547</v>
      </c>
      <c r="B1579" s="4" t="s">
        <v>2672</v>
      </c>
      <c r="C1579" s="5">
        <v>18145.0</v>
      </c>
      <c r="D1579" s="8" t="str">
        <f>+37.890180°</f>
        <v>#ERROR!</v>
      </c>
      <c r="E1579" s="7" t="s">
        <v>2673</v>
      </c>
    </row>
    <row r="1580">
      <c r="A1580" s="3" t="s">
        <v>2547</v>
      </c>
      <c r="B1580" s="4" t="s">
        <v>2674</v>
      </c>
      <c r="C1580" s="5">
        <v>65359.0</v>
      </c>
      <c r="D1580" s="8" t="str">
        <f>+37.810707°</f>
        <v>#ERROR!</v>
      </c>
      <c r="E1580" s="7" t="s">
        <v>2675</v>
      </c>
    </row>
    <row r="1581">
      <c r="A1581" s="3" t="s">
        <v>2547</v>
      </c>
      <c r="B1581" s="4" t="s">
        <v>2397</v>
      </c>
      <c r="C1581" s="5">
        <v>998954.0</v>
      </c>
      <c r="D1581" s="8" t="str">
        <f>+38.640702°</f>
        <v>#ERROR!</v>
      </c>
      <c r="E1581" s="7" t="s">
        <v>2676</v>
      </c>
    </row>
    <row r="1582">
      <c r="A1582" s="3" t="s">
        <v>2547</v>
      </c>
      <c r="B1582" s="4" t="s">
        <v>381</v>
      </c>
      <c r="C1582" s="5">
        <v>23370.0</v>
      </c>
      <c r="D1582" s="8" t="str">
        <f>+39.135840°</f>
        <v>#ERROR!</v>
      </c>
      <c r="E1582" s="7" t="s">
        <v>2677</v>
      </c>
    </row>
    <row r="1583">
      <c r="A1583" s="3" t="s">
        <v>2547</v>
      </c>
      <c r="B1583" s="4" t="s">
        <v>1271</v>
      </c>
      <c r="C1583" s="5">
        <v>4431.0</v>
      </c>
      <c r="D1583" s="8" t="str">
        <f>+40.469361°</f>
        <v>#ERROR!</v>
      </c>
      <c r="E1583" s="7" t="s">
        <v>2678</v>
      </c>
    </row>
    <row r="1584">
      <c r="A1584" s="3" t="s">
        <v>2547</v>
      </c>
      <c r="B1584" s="4" t="s">
        <v>2679</v>
      </c>
      <c r="C1584" s="5">
        <v>4843.0</v>
      </c>
      <c r="D1584" s="8" t="str">
        <f>+40.447686°</f>
        <v>#ERROR!</v>
      </c>
      <c r="E1584" s="7" t="s">
        <v>2680</v>
      </c>
    </row>
    <row r="1585">
      <c r="A1585" s="3" t="s">
        <v>2547</v>
      </c>
      <c r="B1585" s="4" t="s">
        <v>383</v>
      </c>
      <c r="C1585" s="5">
        <v>39191.0</v>
      </c>
      <c r="D1585" s="8" t="str">
        <f>+37.047793°</f>
        <v>#ERROR!</v>
      </c>
      <c r="E1585" s="7" t="s">
        <v>2681</v>
      </c>
    </row>
    <row r="1586">
      <c r="A1586" s="3" t="s">
        <v>2547</v>
      </c>
      <c r="B1586" s="4" t="s">
        <v>2682</v>
      </c>
      <c r="C1586" s="5">
        <v>8441.0</v>
      </c>
      <c r="D1586" s="8" t="str">
        <f>+37.151980°</f>
        <v>#ERROR!</v>
      </c>
      <c r="E1586" s="7" t="s">
        <v>2683</v>
      </c>
    </row>
    <row r="1587">
      <c r="A1587" s="3" t="s">
        <v>2547</v>
      </c>
      <c r="B1587" s="4" t="s">
        <v>165</v>
      </c>
      <c r="C1587" s="5">
        <v>6373.0</v>
      </c>
      <c r="D1587" s="8" t="str">
        <f>+39.797531°</f>
        <v>#ERROR!</v>
      </c>
      <c r="E1587" s="7" t="s">
        <v>2684</v>
      </c>
    </row>
    <row r="1588">
      <c r="A1588" s="3" t="s">
        <v>2547</v>
      </c>
      <c r="B1588" s="4" t="s">
        <v>2685</v>
      </c>
      <c r="C1588" s="5">
        <v>29968.0</v>
      </c>
      <c r="D1588" s="8" t="str">
        <f>+36.855428°</f>
        <v>#ERROR!</v>
      </c>
      <c r="E1588" s="7" t="s">
        <v>2686</v>
      </c>
    </row>
    <row r="1589">
      <c r="A1589" s="3" t="s">
        <v>2547</v>
      </c>
      <c r="B1589" s="4" t="s">
        <v>393</v>
      </c>
      <c r="C1589" s="5">
        <v>32202.0</v>
      </c>
      <c r="D1589" s="8" t="str">
        <f>+36.747857°</f>
        <v>#ERROR!</v>
      </c>
      <c r="E1589" s="7" t="s">
        <v>2687</v>
      </c>
    </row>
    <row r="1590">
      <c r="A1590" s="3" t="s">
        <v>2547</v>
      </c>
      <c r="B1590" s="4" t="s">
        <v>1408</v>
      </c>
      <c r="C1590" s="5">
        <v>6714.0</v>
      </c>
      <c r="D1590" s="8" t="str">
        <f>+40.209587°</f>
        <v>#ERROR!</v>
      </c>
      <c r="E1590" s="7" t="s">
        <v>2688</v>
      </c>
    </row>
    <row r="1591">
      <c r="A1591" s="3" t="s">
        <v>2547</v>
      </c>
      <c r="B1591" s="4" t="s">
        <v>2689</v>
      </c>
      <c r="C1591" s="5">
        <v>51675.0</v>
      </c>
      <c r="D1591" s="8" t="str">
        <f>+36.649827°</f>
        <v>#ERROR!</v>
      </c>
      <c r="E1591" s="7" t="s">
        <v>2690</v>
      </c>
    </row>
    <row r="1592">
      <c r="A1592" s="3" t="s">
        <v>2547</v>
      </c>
      <c r="B1592" s="4" t="s">
        <v>2691</v>
      </c>
      <c r="C1592" s="5">
        <v>26008.0</v>
      </c>
      <c r="D1592" s="8" t="str">
        <f>+37.314257°</f>
        <v>#ERROR!</v>
      </c>
      <c r="E1592" s="7" t="s">
        <v>2692</v>
      </c>
    </row>
    <row r="1593">
      <c r="A1593" s="3" t="s">
        <v>2547</v>
      </c>
      <c r="B1593" s="4" t="s">
        <v>2028</v>
      </c>
      <c r="C1593" s="5">
        <v>21159.0</v>
      </c>
      <c r="D1593" s="8" t="str">
        <f>+37.850196°</f>
        <v>#ERROR!</v>
      </c>
      <c r="E1593" s="7" t="s">
        <v>2693</v>
      </c>
    </row>
    <row r="1594">
      <c r="A1594" s="3" t="s">
        <v>2547</v>
      </c>
      <c r="B1594" s="4" t="s">
        <v>1035</v>
      </c>
      <c r="C1594" s="5">
        <v>32513.0</v>
      </c>
      <c r="D1594" s="8" t="str">
        <f>+38.761902°</f>
        <v>#ERROR!</v>
      </c>
      <c r="E1594" s="7" t="s">
        <v>2694</v>
      </c>
    </row>
    <row r="1595">
      <c r="A1595" s="3" t="s">
        <v>2547</v>
      </c>
      <c r="B1595" s="4" t="s">
        <v>177</v>
      </c>
      <c r="C1595" s="5">
        <v>25195.0</v>
      </c>
      <c r="D1595" s="8" t="str">
        <f>+37.942315°</f>
        <v>#ERROR!</v>
      </c>
      <c r="E1595" s="7" t="s">
        <v>2695</v>
      </c>
    </row>
    <row r="1596">
      <c r="A1596" s="3" t="s">
        <v>2547</v>
      </c>
      <c r="B1596" s="4" t="s">
        <v>1038</v>
      </c>
      <c r="C1596" s="5">
        <v>13521.0</v>
      </c>
      <c r="D1596" s="8" t="str">
        <f>+37.113825°</f>
        <v>#ERROR!</v>
      </c>
      <c r="E1596" s="7" t="s">
        <v>2696</v>
      </c>
    </row>
    <row r="1597">
      <c r="A1597" s="3" t="s">
        <v>2547</v>
      </c>
      <c r="B1597" s="4" t="s">
        <v>1040</v>
      </c>
      <c r="C1597" s="5">
        <v>36202.0</v>
      </c>
      <c r="D1597" s="8" t="str">
        <f>+37.280804°</f>
        <v>#ERROR!</v>
      </c>
      <c r="E1597" s="7" t="s">
        <v>2697</v>
      </c>
    </row>
    <row r="1598">
      <c r="A1598" s="3" t="s">
        <v>2547</v>
      </c>
      <c r="B1598" s="4" t="s">
        <v>1052</v>
      </c>
      <c r="C1598" s="5">
        <v>2171.0</v>
      </c>
      <c r="D1598" s="8" t="str">
        <f>+40.480482°</f>
        <v>#ERROR!</v>
      </c>
      <c r="E1598" s="7" t="s">
        <v>2698</v>
      </c>
    </row>
    <row r="1599">
      <c r="A1599" s="3" t="s">
        <v>2547</v>
      </c>
      <c r="B1599" s="4" t="s">
        <v>1577</v>
      </c>
      <c r="C1599" s="5">
        <v>18815.0</v>
      </c>
      <c r="D1599" s="8" t="str">
        <f>+37.267636°</f>
        <v>#ERROR!</v>
      </c>
      <c r="E1599" s="7" t="s">
        <v>2699</v>
      </c>
    </row>
    <row r="1600">
      <c r="A1600" s="3" t="s">
        <v>2547</v>
      </c>
      <c r="B1600" s="4" t="s">
        <v>2700</v>
      </c>
      <c r="C1600" s="5">
        <v>319294.0</v>
      </c>
      <c r="D1600" s="8" t="str">
        <f>+38.635699°</f>
        <v>#ERROR!</v>
      </c>
      <c r="E1600" s="7" t="s">
        <v>2701</v>
      </c>
    </row>
    <row r="1601">
      <c r="A1601" s="3" t="s">
        <v>2702</v>
      </c>
      <c r="B1601" s="4" t="s">
        <v>2703</v>
      </c>
      <c r="C1601" s="5">
        <v>9246.0</v>
      </c>
      <c r="D1601" s="8" t="str">
        <f>+45.133863°</f>
        <v>#ERROR!</v>
      </c>
      <c r="E1601" s="7" t="s">
        <v>2704</v>
      </c>
    </row>
    <row r="1602">
      <c r="A1602" s="3" t="s">
        <v>2702</v>
      </c>
      <c r="B1602" s="4" t="s">
        <v>2705</v>
      </c>
      <c r="C1602" s="5">
        <v>12865.0</v>
      </c>
      <c r="D1602" s="8" t="str">
        <f>+45.407869°</f>
        <v>#ERROR!</v>
      </c>
      <c r="E1602" s="7" t="s">
        <v>2706</v>
      </c>
    </row>
    <row r="1603">
      <c r="A1603" s="3" t="s">
        <v>2702</v>
      </c>
      <c r="B1603" s="4" t="s">
        <v>1077</v>
      </c>
      <c r="C1603" s="5">
        <v>6491.0</v>
      </c>
      <c r="D1603" s="8" t="str">
        <f>+48.428282°</f>
        <v>#ERROR!</v>
      </c>
      <c r="E1603" s="7" t="s">
        <v>2707</v>
      </c>
    </row>
    <row r="1604">
      <c r="A1604" s="3" t="s">
        <v>2702</v>
      </c>
      <c r="B1604" s="4" t="s">
        <v>2708</v>
      </c>
      <c r="C1604" s="5">
        <v>5612.0</v>
      </c>
      <c r="D1604" s="8" t="str">
        <f>+46.334476°</f>
        <v>#ERROR!</v>
      </c>
      <c r="E1604" s="7" t="s">
        <v>2709</v>
      </c>
    </row>
    <row r="1605">
      <c r="A1605" s="3" t="s">
        <v>2702</v>
      </c>
      <c r="B1605" s="4" t="s">
        <v>2710</v>
      </c>
      <c r="C1605" s="5">
        <v>10078.0</v>
      </c>
      <c r="D1605" s="8" t="str">
        <f>+45.224475°</f>
        <v>#ERROR!</v>
      </c>
      <c r="E1605" s="7" t="s">
        <v>2711</v>
      </c>
    </row>
    <row r="1606">
      <c r="A1606" s="3" t="s">
        <v>2702</v>
      </c>
      <c r="B1606" s="4" t="s">
        <v>1788</v>
      </c>
      <c r="C1606" s="5">
        <v>1160.0</v>
      </c>
      <c r="D1606" s="8" t="str">
        <f>+45.516825°</f>
        <v>#ERROR!</v>
      </c>
      <c r="E1606" s="7" t="s">
        <v>2712</v>
      </c>
    </row>
    <row r="1607">
      <c r="A1607" s="3" t="s">
        <v>2702</v>
      </c>
      <c r="B1607" s="4" t="s">
        <v>2713</v>
      </c>
      <c r="C1607" s="5">
        <v>81327.0</v>
      </c>
      <c r="D1607" s="8" t="str">
        <f>+47.316443°</f>
        <v>#ERROR!</v>
      </c>
      <c r="E1607" s="7" t="s">
        <v>2714</v>
      </c>
    </row>
    <row r="1608">
      <c r="A1608" s="3" t="s">
        <v>2702</v>
      </c>
      <c r="B1608" s="4" t="s">
        <v>2715</v>
      </c>
      <c r="C1608" s="5">
        <v>5813.0</v>
      </c>
      <c r="D1608" s="8" t="str">
        <f>+47.886837°</f>
        <v>#ERROR!</v>
      </c>
      <c r="E1608" s="7" t="s">
        <v>2716</v>
      </c>
    </row>
    <row r="1609">
      <c r="A1609" s="3" t="s">
        <v>2702</v>
      </c>
      <c r="B1609" s="4" t="s">
        <v>550</v>
      </c>
      <c r="C1609" s="5">
        <v>11699.0</v>
      </c>
      <c r="D1609" s="8" t="str">
        <f>+46.261481°</f>
        <v>#ERROR!</v>
      </c>
      <c r="E1609" s="7" t="s">
        <v>2717</v>
      </c>
    </row>
    <row r="1610">
      <c r="A1610" s="3" t="s">
        <v>2702</v>
      </c>
      <c r="B1610" s="4" t="s">
        <v>2718</v>
      </c>
      <c r="C1610" s="5">
        <v>1751.0</v>
      </c>
      <c r="D1610" s="8" t="str">
        <f>+48.794429°</f>
        <v>#ERROR!</v>
      </c>
      <c r="E1610" s="7" t="s">
        <v>2719</v>
      </c>
    </row>
    <row r="1611">
      <c r="A1611" s="3" t="s">
        <v>2702</v>
      </c>
      <c r="B1611" s="4" t="s">
        <v>858</v>
      </c>
      <c r="C1611" s="5">
        <v>8966.0</v>
      </c>
      <c r="D1611" s="8" t="str">
        <f>+47.272425°</f>
        <v>#ERROR!</v>
      </c>
      <c r="E1611" s="7" t="s">
        <v>2720</v>
      </c>
    </row>
    <row r="1612">
      <c r="A1612" s="3" t="s">
        <v>2702</v>
      </c>
      <c r="B1612" s="4" t="s">
        <v>2721</v>
      </c>
      <c r="C1612" s="5">
        <v>9298.0</v>
      </c>
      <c r="D1612" s="8" t="str">
        <f>+46.099059°</f>
        <v>#ERROR!</v>
      </c>
      <c r="E1612" s="7" t="s">
        <v>2722</v>
      </c>
    </row>
    <row r="1613">
      <c r="A1613" s="3" t="s">
        <v>2702</v>
      </c>
      <c r="B1613" s="4" t="s">
        <v>2723</v>
      </c>
      <c r="C1613" s="5">
        <v>2890.0</v>
      </c>
      <c r="D1613" s="8" t="str">
        <f>+46.318184°</f>
        <v>#ERROR!</v>
      </c>
      <c r="E1613" s="7" t="s">
        <v>2724</v>
      </c>
    </row>
    <row r="1614">
      <c r="A1614" s="3" t="s">
        <v>2702</v>
      </c>
      <c r="B1614" s="4" t="s">
        <v>2725</v>
      </c>
      <c r="C1614" s="5">
        <v>11586.0</v>
      </c>
      <c r="D1614" s="8" t="str">
        <f>+47.222997°</f>
        <v>#ERROR!</v>
      </c>
      <c r="E1614" s="7" t="s">
        <v>2726</v>
      </c>
    </row>
    <row r="1615">
      <c r="A1615" s="3" t="s">
        <v>2702</v>
      </c>
      <c r="B1615" s="4" t="s">
        <v>2727</v>
      </c>
      <c r="C1615" s="5">
        <v>90928.0</v>
      </c>
      <c r="D1615" s="8" t="str">
        <f>+48.314696°</f>
        <v>#ERROR!</v>
      </c>
      <c r="E1615" s="7" t="s">
        <v>2728</v>
      </c>
    </row>
    <row r="1616">
      <c r="A1616" s="3" t="s">
        <v>2702</v>
      </c>
      <c r="B1616" s="4" t="s">
        <v>1188</v>
      </c>
      <c r="C1616" s="5">
        <v>89513.0</v>
      </c>
      <c r="D1616" s="8" t="str">
        <f>+45.535559°</f>
        <v>#ERROR!</v>
      </c>
      <c r="E1616" s="7" t="s">
        <v>2729</v>
      </c>
    </row>
    <row r="1617">
      <c r="A1617" s="3" t="s">
        <v>2702</v>
      </c>
      <c r="B1617" s="4" t="s">
        <v>568</v>
      </c>
      <c r="C1617" s="5">
        <v>1206.0</v>
      </c>
      <c r="D1617" s="8" t="str">
        <f>+47.281174°</f>
        <v>#ERROR!</v>
      </c>
      <c r="E1617" s="7" t="s">
        <v>2730</v>
      </c>
    </row>
    <row r="1618">
      <c r="A1618" s="3" t="s">
        <v>2702</v>
      </c>
      <c r="B1618" s="4" t="s">
        <v>2731</v>
      </c>
      <c r="C1618" s="5">
        <v>13399.0</v>
      </c>
      <c r="D1618" s="8" t="str">
        <f>+48.705671°</f>
        <v>#ERROR!</v>
      </c>
      <c r="E1618" s="7" t="s">
        <v>2732</v>
      </c>
    </row>
    <row r="1619">
      <c r="A1619" s="3" t="s">
        <v>2702</v>
      </c>
      <c r="B1619" s="4" t="s">
        <v>2733</v>
      </c>
      <c r="C1619" s="7">
        <v>884.0</v>
      </c>
      <c r="D1619" s="8" t="str">
        <f>+46.380624°</f>
        <v>#ERROR!</v>
      </c>
      <c r="E1619" s="7" t="s">
        <v>2734</v>
      </c>
    </row>
    <row r="1620">
      <c r="A1620" s="3" t="s">
        <v>2702</v>
      </c>
      <c r="B1620" s="4" t="s">
        <v>2735</v>
      </c>
      <c r="C1620" s="5">
        <v>3079.0</v>
      </c>
      <c r="D1620" s="8" t="str">
        <f>+46.395358°</f>
        <v>#ERROR!</v>
      </c>
      <c r="E1620" s="7" t="s">
        <v>2736</v>
      </c>
    </row>
    <row r="1621">
      <c r="A1621" s="3" t="s">
        <v>2702</v>
      </c>
      <c r="B1621" s="4" t="s">
        <v>2737</v>
      </c>
      <c r="C1621" s="5">
        <v>16096.0</v>
      </c>
      <c r="D1621" s="8" t="str">
        <f>+48.628331°</f>
        <v>#ERROR!</v>
      </c>
      <c r="E1621" s="7" t="s">
        <v>2738</v>
      </c>
    </row>
    <row r="1622">
      <c r="A1622" s="3" t="s">
        <v>2702</v>
      </c>
      <c r="B1622" s="4" t="s">
        <v>111</v>
      </c>
      <c r="C1622" s="5">
        <v>11406.0</v>
      </c>
      <c r="D1622" s="8" t="str">
        <f>+46.126557°</f>
        <v>#ERROR!</v>
      </c>
      <c r="E1622" s="7" t="s">
        <v>2739</v>
      </c>
    </row>
    <row r="1623">
      <c r="A1623" s="3" t="s">
        <v>2702</v>
      </c>
      <c r="B1623" s="4" t="s">
        <v>2740</v>
      </c>
      <c r="C1623" s="5">
        <v>2072.0</v>
      </c>
      <c r="D1623" s="8" t="str">
        <f>+47.032558°</f>
        <v>#ERROR!</v>
      </c>
      <c r="E1623" s="7" t="s">
        <v>2741</v>
      </c>
    </row>
    <row r="1624">
      <c r="A1624" s="3" t="s">
        <v>2702</v>
      </c>
      <c r="B1624" s="4" t="s">
        <v>439</v>
      </c>
      <c r="C1624" s="5">
        <v>28746.0</v>
      </c>
      <c r="D1624" s="8" t="str">
        <f>+47.642901°</f>
        <v>#ERROR!</v>
      </c>
      <c r="E1624" s="7" t="s">
        <v>2742</v>
      </c>
    </row>
    <row r="1625">
      <c r="A1625" s="3" t="s">
        <v>2702</v>
      </c>
      <c r="B1625" s="4" t="s">
        <v>2743</v>
      </c>
      <c r="C1625" s="5">
        <v>63395.0</v>
      </c>
      <c r="D1625" s="8" t="str">
        <f>+47.122133°</f>
        <v>#ERROR!</v>
      </c>
      <c r="E1625" s="7" t="s">
        <v>2744</v>
      </c>
    </row>
    <row r="1626">
      <c r="A1626" s="3" t="s">
        <v>2702</v>
      </c>
      <c r="B1626" s="4" t="s">
        <v>733</v>
      </c>
      <c r="C1626" s="5">
        <v>2339.0</v>
      </c>
      <c r="D1626" s="8" t="str">
        <f>+48.559654°</f>
        <v>#ERROR!</v>
      </c>
      <c r="E1626" s="7" t="s">
        <v>2745</v>
      </c>
    </row>
    <row r="1627">
      <c r="A1627" s="3" t="s">
        <v>2702</v>
      </c>
      <c r="B1627" s="4" t="s">
        <v>342</v>
      </c>
      <c r="C1627" s="5">
        <v>19687.0</v>
      </c>
      <c r="D1627" s="8" t="str">
        <f>+48.542232°</f>
        <v>#ERROR!</v>
      </c>
      <c r="E1627" s="7" t="s">
        <v>2746</v>
      </c>
    </row>
    <row r="1628">
      <c r="A1628" s="3" t="s">
        <v>2702</v>
      </c>
      <c r="B1628" s="4" t="s">
        <v>2747</v>
      </c>
      <c r="C1628" s="5">
        <v>1734.0</v>
      </c>
      <c r="D1628" s="8" t="str">
        <f>+47.629628°</f>
        <v>#ERROR!</v>
      </c>
      <c r="E1628" s="7" t="s">
        <v>2748</v>
      </c>
    </row>
    <row r="1629">
      <c r="A1629" s="3" t="s">
        <v>2702</v>
      </c>
      <c r="B1629" s="4" t="s">
        <v>135</v>
      </c>
      <c r="C1629" s="5">
        <v>7691.0</v>
      </c>
      <c r="D1629" s="8" t="str">
        <f>+45.319288°</f>
        <v>#ERROR!</v>
      </c>
      <c r="E1629" s="7" t="s">
        <v>2749</v>
      </c>
    </row>
    <row r="1630">
      <c r="A1630" s="3" t="s">
        <v>2702</v>
      </c>
      <c r="B1630" s="4" t="s">
        <v>2750</v>
      </c>
      <c r="C1630" s="5">
        <v>1891.0</v>
      </c>
      <c r="D1630" s="8" t="str">
        <f>+46.585706°</f>
        <v>#ERROR!</v>
      </c>
      <c r="E1630" s="7" t="s">
        <v>2751</v>
      </c>
    </row>
    <row r="1631">
      <c r="A1631" s="3" t="s">
        <v>2702</v>
      </c>
      <c r="B1631" s="4" t="s">
        <v>597</v>
      </c>
      <c r="C1631" s="5">
        <v>4223.0</v>
      </c>
      <c r="D1631" s="8" t="str">
        <f>+47.155213°</f>
        <v>#ERROR!</v>
      </c>
      <c r="E1631" s="7" t="s">
        <v>2752</v>
      </c>
    </row>
    <row r="1632">
      <c r="A1632" s="3" t="s">
        <v>2702</v>
      </c>
      <c r="B1632" s="4" t="s">
        <v>2753</v>
      </c>
      <c r="C1632" s="5">
        <v>109299.0</v>
      </c>
      <c r="D1632" s="8" t="str">
        <f>+47.027263°</f>
        <v>#ERROR!</v>
      </c>
      <c r="E1632" s="7" t="s">
        <v>2754</v>
      </c>
    </row>
    <row r="1633">
      <c r="A1633" s="3" t="s">
        <v>2702</v>
      </c>
      <c r="B1633" s="4" t="s">
        <v>2755</v>
      </c>
      <c r="C1633" s="5">
        <v>4538.0</v>
      </c>
      <c r="D1633" s="8" t="str">
        <f>+46.505665°</f>
        <v>#ERROR!</v>
      </c>
      <c r="E1633" s="7" t="s">
        <v>2756</v>
      </c>
    </row>
    <row r="1634">
      <c r="A1634" s="3" t="s">
        <v>2702</v>
      </c>
      <c r="B1634" s="4" t="s">
        <v>610</v>
      </c>
      <c r="C1634" s="5">
        <v>15636.0</v>
      </c>
      <c r="D1634" s="8" t="str">
        <f>+45.421905°</f>
        <v>#ERROR!</v>
      </c>
      <c r="E1634" s="7" t="s">
        <v>2757</v>
      </c>
    </row>
    <row r="1635">
      <c r="A1635" s="3" t="s">
        <v>2702</v>
      </c>
      <c r="B1635" s="4" t="s">
        <v>2758</v>
      </c>
      <c r="C1635" s="7">
        <v>494.0</v>
      </c>
      <c r="D1635" s="8" t="str">
        <f>+47.141917°</f>
        <v>#ERROR!</v>
      </c>
      <c r="E1635" s="7" t="s">
        <v>2759</v>
      </c>
    </row>
    <row r="1636">
      <c r="A1636" s="3" t="s">
        <v>2702</v>
      </c>
      <c r="B1636" s="4" t="s">
        <v>365</v>
      </c>
      <c r="C1636" s="5">
        <v>4253.0</v>
      </c>
      <c r="D1636" s="8" t="str">
        <f>+48.250155°</f>
        <v>#ERROR!</v>
      </c>
      <c r="E1636" s="7" t="s">
        <v>2760</v>
      </c>
    </row>
    <row r="1637">
      <c r="A1637" s="3" t="s">
        <v>2702</v>
      </c>
      <c r="B1637" s="4" t="s">
        <v>2761</v>
      </c>
      <c r="C1637" s="5">
        <v>6153.0</v>
      </c>
      <c r="D1637" s="8" t="str">
        <f>+48.230312°</f>
        <v>#ERROR!</v>
      </c>
      <c r="E1637" s="7" t="s">
        <v>2762</v>
      </c>
    </row>
    <row r="1638">
      <c r="A1638" s="3" t="s">
        <v>2702</v>
      </c>
      <c r="B1638" s="4" t="s">
        <v>2763</v>
      </c>
      <c r="C1638" s="5">
        <v>1743.0</v>
      </c>
      <c r="D1638" s="8" t="str">
        <f>+45.408890°</f>
        <v>#ERROR!</v>
      </c>
      <c r="E1638" s="7" t="s">
        <v>2764</v>
      </c>
    </row>
    <row r="1639">
      <c r="A1639" s="3" t="s">
        <v>2702</v>
      </c>
      <c r="B1639" s="4" t="s">
        <v>1897</v>
      </c>
      <c r="C1639" s="5">
        <v>7027.0</v>
      </c>
      <c r="D1639" s="8" t="str">
        <f>+46.844225°</f>
        <v>#ERROR!</v>
      </c>
      <c r="E1639" s="7" t="s">
        <v>2765</v>
      </c>
    </row>
    <row r="1640">
      <c r="A1640" s="3" t="s">
        <v>2702</v>
      </c>
      <c r="B1640" s="4" t="s">
        <v>374</v>
      </c>
      <c r="C1640" s="5">
        <v>1179.0</v>
      </c>
      <c r="D1640" s="8" t="str">
        <f>+46.852434°</f>
        <v>#ERROR!</v>
      </c>
      <c r="E1640" s="7" t="s">
        <v>2766</v>
      </c>
    </row>
    <row r="1641">
      <c r="A1641" s="3" t="s">
        <v>2702</v>
      </c>
      <c r="B1641" s="4" t="s">
        <v>2767</v>
      </c>
      <c r="C1641" s="5">
        <v>40212.0</v>
      </c>
      <c r="D1641" s="8" t="str">
        <f>+46.079298°</f>
        <v>#ERROR!</v>
      </c>
      <c r="E1641" s="7" t="s">
        <v>2768</v>
      </c>
    </row>
    <row r="1642">
      <c r="A1642" s="3" t="s">
        <v>2702</v>
      </c>
      <c r="B1642" s="4" t="s">
        <v>1263</v>
      </c>
      <c r="C1642" s="5">
        <v>9746.0</v>
      </c>
      <c r="D1642" s="8" t="str">
        <f>+47.785513°</f>
        <v>#ERROR!</v>
      </c>
      <c r="E1642" s="7" t="s">
        <v>2769</v>
      </c>
    </row>
    <row r="1643">
      <c r="A1643" s="3" t="s">
        <v>2702</v>
      </c>
      <c r="B1643" s="4" t="s">
        <v>2770</v>
      </c>
      <c r="C1643" s="5">
        <v>10425.0</v>
      </c>
      <c r="D1643" s="8" t="str">
        <f>+48.282747°</f>
        <v>#ERROR!</v>
      </c>
      <c r="E1643" s="7" t="s">
        <v>2771</v>
      </c>
    </row>
    <row r="1644">
      <c r="A1644" s="3" t="s">
        <v>2702</v>
      </c>
      <c r="B1644" s="4" t="s">
        <v>2772</v>
      </c>
      <c r="C1644" s="5">
        <v>9233.0</v>
      </c>
      <c r="D1644" s="8" t="str">
        <f>+46.161734°</f>
        <v>#ERROR!</v>
      </c>
      <c r="E1644" s="7" t="s">
        <v>2773</v>
      </c>
    </row>
    <row r="1645">
      <c r="A1645" s="3" t="s">
        <v>2702</v>
      </c>
      <c r="B1645" s="4" t="s">
        <v>2774</v>
      </c>
      <c r="C1645" s="5">
        <v>11413.0</v>
      </c>
      <c r="D1645" s="8" t="str">
        <f>+47.756469°</f>
        <v>#ERROR!</v>
      </c>
      <c r="E1645" s="7" t="s">
        <v>2775</v>
      </c>
    </row>
    <row r="1646">
      <c r="A1646" s="3" t="s">
        <v>2702</v>
      </c>
      <c r="B1646" s="4" t="s">
        <v>1722</v>
      </c>
      <c r="C1646" s="5">
        <v>3384.0</v>
      </c>
      <c r="D1646" s="8" t="str">
        <f>+48.705523°</f>
        <v>#ERROR!</v>
      </c>
      <c r="E1646" s="7" t="s">
        <v>2776</v>
      </c>
    </row>
    <row r="1647">
      <c r="A1647" s="3" t="s">
        <v>2702</v>
      </c>
      <c r="B1647" s="4" t="s">
        <v>2777</v>
      </c>
      <c r="C1647" s="5">
        <v>34200.0</v>
      </c>
      <c r="D1647" s="8" t="str">
        <f>+45.895959°</f>
        <v>#ERROR!</v>
      </c>
      <c r="E1647" s="7" t="s">
        <v>2778</v>
      </c>
    </row>
    <row r="1648">
      <c r="A1648" s="3" t="s">
        <v>2702</v>
      </c>
      <c r="B1648" s="4" t="s">
        <v>2779</v>
      </c>
      <c r="C1648" s="5">
        <v>9117.0</v>
      </c>
      <c r="D1648" s="8" t="str">
        <f>+45.663496°</f>
        <v>#ERROR!</v>
      </c>
      <c r="E1648" s="7" t="s">
        <v>2780</v>
      </c>
    </row>
    <row r="1649">
      <c r="A1649" s="3" t="s">
        <v>2702</v>
      </c>
      <c r="B1649" s="4" t="s">
        <v>2781</v>
      </c>
      <c r="C1649" s="5">
        <v>3651.0</v>
      </c>
      <c r="D1649" s="8" t="str">
        <f>+45.813060°</f>
        <v>#ERROR!</v>
      </c>
      <c r="E1649" s="7" t="s">
        <v>2782</v>
      </c>
    </row>
    <row r="1650">
      <c r="A1650" s="3" t="s">
        <v>2702</v>
      </c>
      <c r="B1650" s="4" t="s">
        <v>1136</v>
      </c>
      <c r="C1650" s="5">
        <v>6073.0</v>
      </c>
      <c r="D1650" s="8" t="str">
        <f>+47.819035°</f>
        <v>#ERROR!</v>
      </c>
      <c r="E1650" s="7" t="s">
        <v>2783</v>
      </c>
    </row>
    <row r="1651">
      <c r="A1651" s="3" t="s">
        <v>2702</v>
      </c>
      <c r="B1651" s="4" t="s">
        <v>2784</v>
      </c>
      <c r="C1651" s="5">
        <v>5324.0</v>
      </c>
      <c r="D1651" s="8" t="str">
        <f>+48.645052°</f>
        <v>#ERROR!</v>
      </c>
      <c r="E1651" s="7" t="s">
        <v>2785</v>
      </c>
    </row>
    <row r="1652">
      <c r="A1652" s="3" t="s">
        <v>2702</v>
      </c>
      <c r="B1652" s="4" t="s">
        <v>2786</v>
      </c>
      <c r="C1652" s="7">
        <v>718.0</v>
      </c>
      <c r="D1652" s="8" t="str">
        <f>+46.209636°</f>
        <v>#ERROR!</v>
      </c>
      <c r="E1652" s="7" t="s">
        <v>2787</v>
      </c>
    </row>
    <row r="1653">
      <c r="A1653" s="3" t="s">
        <v>2702</v>
      </c>
      <c r="B1653" s="4" t="s">
        <v>1140</v>
      </c>
      <c r="C1653" s="5">
        <v>7369.0</v>
      </c>
      <c r="D1653" s="8" t="str">
        <f>+48.365713°</f>
        <v>#ERROR!</v>
      </c>
      <c r="E1653" s="7" t="s">
        <v>2788</v>
      </c>
    </row>
    <row r="1654">
      <c r="A1654" s="3" t="s">
        <v>2702</v>
      </c>
      <c r="B1654" s="4" t="s">
        <v>2789</v>
      </c>
      <c r="C1654" s="5">
        <v>2168.0</v>
      </c>
      <c r="D1654" s="8" t="str">
        <f>+46.497047°</f>
        <v>#ERROR!</v>
      </c>
      <c r="E1654" s="7" t="s">
        <v>2790</v>
      </c>
    </row>
    <row r="1655">
      <c r="A1655" s="3" t="s">
        <v>2702</v>
      </c>
      <c r="B1655" s="4" t="s">
        <v>2791</v>
      </c>
      <c r="C1655" s="5">
        <v>1017.0</v>
      </c>
      <c r="D1655" s="8" t="str">
        <f>+46.962866°</f>
        <v>#ERROR!</v>
      </c>
      <c r="E1655" s="7" t="s">
        <v>2792</v>
      </c>
    </row>
    <row r="1656">
      <c r="A1656" s="3" t="s">
        <v>2702</v>
      </c>
      <c r="B1656" s="4" t="s">
        <v>2793</v>
      </c>
      <c r="C1656" s="5">
        <v>147972.0</v>
      </c>
      <c r="D1656" s="8" t="str">
        <f>+45.936987°</f>
        <v>#ERROR!</v>
      </c>
      <c r="E1656" s="7" t="s">
        <v>2794</v>
      </c>
    </row>
    <row r="1657">
      <c r="A1657" s="3" t="s">
        <v>2795</v>
      </c>
      <c r="B1657" s="4" t="s">
        <v>522</v>
      </c>
      <c r="C1657" s="5">
        <v>31364.0</v>
      </c>
      <c r="D1657" s="8" t="str">
        <f>+40.520632°</f>
        <v>#ERROR!</v>
      </c>
      <c r="E1657" s="7" t="s">
        <v>2796</v>
      </c>
    </row>
    <row r="1658">
      <c r="A1658" s="3" t="s">
        <v>2795</v>
      </c>
      <c r="B1658" s="4" t="s">
        <v>2797</v>
      </c>
      <c r="C1658" s="5">
        <v>6685.0</v>
      </c>
      <c r="D1658" s="8" t="str">
        <f>+42.183225°</f>
        <v>#ERROR!</v>
      </c>
      <c r="E1658" s="7" t="s">
        <v>2798</v>
      </c>
    </row>
    <row r="1659">
      <c r="A1659" s="3" t="s">
        <v>2795</v>
      </c>
      <c r="B1659" s="4" t="s">
        <v>2799</v>
      </c>
      <c r="C1659" s="7">
        <v>460.0</v>
      </c>
      <c r="D1659" s="8" t="str">
        <f>+41.570856°</f>
        <v>#ERROR!</v>
      </c>
      <c r="E1659" s="7" t="s">
        <v>2800</v>
      </c>
    </row>
    <row r="1660">
      <c r="A1660" s="3" t="s">
        <v>2795</v>
      </c>
      <c r="B1660" s="4" t="s">
        <v>2801</v>
      </c>
      <c r="C1660" s="7">
        <v>690.0</v>
      </c>
      <c r="D1660" s="8" t="str">
        <f>+41.539750°</f>
        <v>#ERROR!</v>
      </c>
      <c r="E1660" s="7" t="s">
        <v>2802</v>
      </c>
    </row>
    <row r="1661">
      <c r="A1661" s="3" t="s">
        <v>2795</v>
      </c>
      <c r="B1661" s="4" t="s">
        <v>1077</v>
      </c>
      <c r="C1661" s="7">
        <v>478.0</v>
      </c>
      <c r="D1661" s="8" t="str">
        <f>+41.925230°</f>
        <v>#ERROR!</v>
      </c>
      <c r="E1661" s="7" t="s">
        <v>2803</v>
      </c>
    </row>
    <row r="1662">
      <c r="A1662" s="3" t="s">
        <v>2795</v>
      </c>
      <c r="B1662" s="4" t="s">
        <v>282</v>
      </c>
      <c r="C1662" s="5">
        <v>5505.0</v>
      </c>
      <c r="D1662" s="8" t="str">
        <f>+41.705400°</f>
        <v>#ERROR!</v>
      </c>
      <c r="E1662" s="7" t="s">
        <v>2804</v>
      </c>
    </row>
    <row r="1663">
      <c r="A1663" s="3" t="s">
        <v>2795</v>
      </c>
      <c r="B1663" s="4" t="s">
        <v>2805</v>
      </c>
      <c r="C1663" s="5">
        <v>11308.0</v>
      </c>
      <c r="D1663" s="8" t="str">
        <f>+42.215665°</f>
        <v>#ERROR!</v>
      </c>
      <c r="E1663" s="7" t="s">
        <v>2806</v>
      </c>
    </row>
    <row r="1664">
      <c r="A1664" s="3" t="s">
        <v>2795</v>
      </c>
      <c r="B1664" s="4" t="s">
        <v>1766</v>
      </c>
      <c r="C1664" s="5">
        <v>2099.0</v>
      </c>
      <c r="D1664" s="8" t="str">
        <f>+42.894448°</f>
        <v>#ERROR!</v>
      </c>
      <c r="E1664" s="7" t="s">
        <v>2807</v>
      </c>
    </row>
    <row r="1665">
      <c r="A1665" s="3" t="s">
        <v>2795</v>
      </c>
      <c r="B1665" s="4" t="s">
        <v>1150</v>
      </c>
      <c r="C1665" s="5">
        <v>3145.0</v>
      </c>
      <c r="D1665" s="8" t="str">
        <f>+42.349390°</f>
        <v>#ERROR!</v>
      </c>
      <c r="E1665" s="7" t="s">
        <v>2808</v>
      </c>
    </row>
    <row r="1666">
      <c r="A1666" s="3" t="s">
        <v>2795</v>
      </c>
      <c r="B1666" s="4" t="s">
        <v>2809</v>
      </c>
      <c r="C1666" s="5">
        <v>46102.0</v>
      </c>
      <c r="D1666" s="8" t="str">
        <f>+40.855226°</f>
        <v>#ERROR!</v>
      </c>
      <c r="E1666" s="7" t="s">
        <v>2810</v>
      </c>
    </row>
    <row r="1667">
      <c r="A1667" s="3" t="s">
        <v>2795</v>
      </c>
      <c r="B1667" s="4" t="s">
        <v>2811</v>
      </c>
      <c r="C1667" s="5">
        <v>6858.0</v>
      </c>
      <c r="D1667" s="8" t="str">
        <f>+41.854179°</f>
        <v>#ERROR!</v>
      </c>
      <c r="E1667" s="7" t="s">
        <v>2812</v>
      </c>
    </row>
    <row r="1668">
      <c r="A1668" s="3" t="s">
        <v>2795</v>
      </c>
      <c r="B1668" s="4" t="s">
        <v>24</v>
      </c>
      <c r="C1668" s="5">
        <v>8395.0</v>
      </c>
      <c r="D1668" s="8" t="str">
        <f>+41.226072°</f>
        <v>#ERROR!</v>
      </c>
      <c r="E1668" s="7" t="s">
        <v>2813</v>
      </c>
    </row>
    <row r="1669">
      <c r="A1669" s="3" t="s">
        <v>2795</v>
      </c>
      <c r="B1669" s="4" t="s">
        <v>1156</v>
      </c>
      <c r="C1669" s="5">
        <v>25241.0</v>
      </c>
      <c r="D1669" s="8" t="str">
        <f>+40.909878°</f>
        <v>#ERROR!</v>
      </c>
      <c r="E1669" s="7" t="s">
        <v>2814</v>
      </c>
    </row>
    <row r="1670">
      <c r="A1670" s="3" t="s">
        <v>2795</v>
      </c>
      <c r="B1670" s="4" t="s">
        <v>1458</v>
      </c>
      <c r="C1670" s="5">
        <v>8852.0</v>
      </c>
      <c r="D1670" s="8" t="str">
        <f>+42.604511°</f>
        <v>#ERROR!</v>
      </c>
      <c r="E1670" s="7" t="s">
        <v>2815</v>
      </c>
    </row>
    <row r="1671">
      <c r="A1671" s="3" t="s">
        <v>2795</v>
      </c>
      <c r="B1671" s="4" t="s">
        <v>1593</v>
      </c>
      <c r="C1671" s="5">
        <v>3966.0</v>
      </c>
      <c r="D1671" s="8" t="str">
        <f>+40.530390°</f>
        <v>#ERROR!</v>
      </c>
      <c r="E1671" s="7" t="s">
        <v>2816</v>
      </c>
    </row>
    <row r="1672">
      <c r="A1672" s="3" t="s">
        <v>2795</v>
      </c>
      <c r="B1672" s="4" t="s">
        <v>2817</v>
      </c>
      <c r="C1672" s="5">
        <v>5713.0</v>
      </c>
      <c r="D1672" s="8" t="str">
        <f>+42.566985°</f>
        <v>#ERROR!</v>
      </c>
      <c r="E1672" s="7" t="s">
        <v>2818</v>
      </c>
    </row>
    <row r="1673">
      <c r="A1673" s="3" t="s">
        <v>2795</v>
      </c>
      <c r="B1673" s="4" t="s">
        <v>540</v>
      </c>
      <c r="C1673" s="5">
        <v>9998.0</v>
      </c>
      <c r="D1673" s="8" t="str">
        <f>+41.214236°</f>
        <v>#ERROR!</v>
      </c>
      <c r="E1673" s="7" t="s">
        <v>2819</v>
      </c>
    </row>
    <row r="1674">
      <c r="A1674" s="3" t="s">
        <v>2795</v>
      </c>
      <c r="B1674" s="4" t="s">
        <v>42</v>
      </c>
      <c r="C1674" s="5">
        <v>6542.0</v>
      </c>
      <c r="D1674" s="8" t="str">
        <f>+40.523669°</f>
        <v>#ERROR!</v>
      </c>
      <c r="E1674" s="7" t="s">
        <v>2820</v>
      </c>
    </row>
    <row r="1675">
      <c r="A1675" s="3" t="s">
        <v>2795</v>
      </c>
      <c r="B1675" s="4" t="s">
        <v>2821</v>
      </c>
      <c r="C1675" s="5">
        <v>10515.0</v>
      </c>
      <c r="D1675" s="8" t="str">
        <f>+41.574675°</f>
        <v>#ERROR!</v>
      </c>
      <c r="E1675" s="7" t="s">
        <v>2822</v>
      </c>
    </row>
    <row r="1676">
      <c r="A1676" s="3" t="s">
        <v>2795</v>
      </c>
      <c r="B1676" s="4" t="s">
        <v>2823</v>
      </c>
      <c r="C1676" s="5">
        <v>9139.0</v>
      </c>
      <c r="D1676" s="8" t="str">
        <f>+41.915865°</f>
        <v>#ERROR!</v>
      </c>
      <c r="E1676" s="7" t="s">
        <v>2824</v>
      </c>
    </row>
    <row r="1677">
      <c r="A1677" s="3" t="s">
        <v>2795</v>
      </c>
      <c r="B1677" s="4" t="s">
        <v>550</v>
      </c>
      <c r="C1677" s="5">
        <v>10939.0</v>
      </c>
      <c r="D1677" s="8" t="str">
        <f>+41.393893°</f>
        <v>#ERROR!</v>
      </c>
      <c r="E1677" s="7" t="s">
        <v>2825</v>
      </c>
    </row>
    <row r="1678">
      <c r="A1678" s="3" t="s">
        <v>2795</v>
      </c>
      <c r="B1678" s="4" t="s">
        <v>2311</v>
      </c>
      <c r="C1678" s="5">
        <v>21006.0</v>
      </c>
      <c r="D1678" s="8" t="str">
        <f>+42.390456°</f>
        <v>#ERROR!</v>
      </c>
      <c r="E1678" s="7" t="s">
        <v>2826</v>
      </c>
    </row>
    <row r="1679">
      <c r="A1679" s="3" t="s">
        <v>2795</v>
      </c>
      <c r="B1679" s="4" t="s">
        <v>2827</v>
      </c>
      <c r="C1679" s="5">
        <v>9182.0</v>
      </c>
      <c r="D1679" s="8" t="str">
        <f>+42.711214°</f>
        <v>#ERROR!</v>
      </c>
      <c r="E1679" s="7" t="s">
        <v>2828</v>
      </c>
    </row>
    <row r="1680">
      <c r="A1680" s="3" t="s">
        <v>2795</v>
      </c>
      <c r="B1680" s="4" t="s">
        <v>858</v>
      </c>
      <c r="C1680" s="5">
        <v>24326.0</v>
      </c>
      <c r="D1680" s="8" t="str">
        <f>+40.867378°</f>
        <v>#ERROR!</v>
      </c>
      <c r="E1680" s="7" t="s">
        <v>2829</v>
      </c>
    </row>
    <row r="1681">
      <c r="A1681" s="3" t="s">
        <v>2795</v>
      </c>
      <c r="B1681" s="4" t="s">
        <v>2830</v>
      </c>
      <c r="C1681" s="5">
        <v>1941.0</v>
      </c>
      <c r="D1681" s="8" t="str">
        <f>+41.112988°</f>
        <v>#ERROR!</v>
      </c>
      <c r="E1681" s="7" t="s">
        <v>2831</v>
      </c>
    </row>
    <row r="1682">
      <c r="A1682" s="3" t="s">
        <v>2795</v>
      </c>
      <c r="B1682" s="4" t="s">
        <v>2832</v>
      </c>
      <c r="C1682" s="5">
        <v>6000.0</v>
      </c>
      <c r="D1682" s="8" t="str">
        <f>+42.485280°</f>
        <v>#ERROR!</v>
      </c>
      <c r="E1682" s="7" t="s">
        <v>2833</v>
      </c>
    </row>
    <row r="1683">
      <c r="A1683" s="3" t="s">
        <v>2795</v>
      </c>
      <c r="B1683" s="4" t="s">
        <v>863</v>
      </c>
      <c r="C1683" s="5">
        <v>36691.0</v>
      </c>
      <c r="D1683" s="8" t="str">
        <f>+41.577008°</f>
        <v>#ERROR!</v>
      </c>
      <c r="E1683" s="7" t="s">
        <v>2834</v>
      </c>
    </row>
    <row r="1684">
      <c r="A1684" s="3" t="s">
        <v>2795</v>
      </c>
      <c r="B1684" s="4" t="s">
        <v>558</v>
      </c>
      <c r="C1684" s="5">
        <v>517110.0</v>
      </c>
      <c r="D1684" s="8" t="str">
        <f>+41.297091°</f>
        <v>#ERROR!</v>
      </c>
      <c r="E1684" s="7" t="s">
        <v>2835</v>
      </c>
    </row>
    <row r="1685">
      <c r="A1685" s="3" t="s">
        <v>2795</v>
      </c>
      <c r="B1685" s="4" t="s">
        <v>2836</v>
      </c>
      <c r="C1685" s="5">
        <v>2008.0</v>
      </c>
      <c r="D1685" s="8" t="str">
        <f>+40.180165°</f>
        <v>#ERROR!</v>
      </c>
      <c r="E1685" s="7" t="s">
        <v>2837</v>
      </c>
    </row>
    <row r="1686">
      <c r="A1686" s="3" t="s">
        <v>2795</v>
      </c>
      <c r="B1686" s="4" t="s">
        <v>2317</v>
      </c>
      <c r="C1686" s="5">
        <v>5890.0</v>
      </c>
      <c r="D1686" s="8" t="str">
        <f>+40.525040°</f>
        <v>#ERROR!</v>
      </c>
      <c r="E1686" s="7" t="s">
        <v>2838</v>
      </c>
    </row>
    <row r="1687">
      <c r="A1687" s="3" t="s">
        <v>2795</v>
      </c>
      <c r="B1687" s="4" t="s">
        <v>90</v>
      </c>
      <c r="C1687" s="5">
        <v>3225.0</v>
      </c>
      <c r="D1687" s="8" t="str">
        <f>+40.183203°</f>
        <v>#ERROR!</v>
      </c>
      <c r="E1687" s="7" t="s">
        <v>2839</v>
      </c>
    </row>
    <row r="1688">
      <c r="A1688" s="3" t="s">
        <v>2795</v>
      </c>
      <c r="B1688" s="4" t="s">
        <v>2840</v>
      </c>
      <c r="C1688" s="5">
        <v>2756.0</v>
      </c>
      <c r="D1688" s="8" t="str">
        <f>+40.530947°</f>
        <v>#ERROR!</v>
      </c>
      <c r="E1688" s="7" t="s">
        <v>2841</v>
      </c>
    </row>
    <row r="1689">
      <c r="A1689" s="3" t="s">
        <v>2795</v>
      </c>
      <c r="B1689" s="4" t="s">
        <v>2842</v>
      </c>
      <c r="C1689" s="5">
        <v>4959.0</v>
      </c>
      <c r="D1689" s="8" t="str">
        <f>+40.191991°</f>
        <v>#ERROR!</v>
      </c>
      <c r="E1689" s="7" t="s">
        <v>2843</v>
      </c>
    </row>
    <row r="1690">
      <c r="A1690" s="3" t="s">
        <v>2795</v>
      </c>
      <c r="B1690" s="4" t="s">
        <v>2844</v>
      </c>
      <c r="C1690" s="5">
        <v>22311.0</v>
      </c>
      <c r="D1690" s="8" t="str">
        <f>+40.255234°</f>
        <v>#ERROR!</v>
      </c>
      <c r="E1690" s="7" t="s">
        <v>2845</v>
      </c>
    </row>
    <row r="1691">
      <c r="A1691" s="3" t="s">
        <v>2795</v>
      </c>
      <c r="B1691" s="4" t="s">
        <v>2846</v>
      </c>
      <c r="C1691" s="5">
        <v>2057.0</v>
      </c>
      <c r="D1691" s="8" t="str">
        <f>+41.659381°</f>
        <v>#ERROR!</v>
      </c>
      <c r="E1691" s="7" t="s">
        <v>2847</v>
      </c>
    </row>
    <row r="1692">
      <c r="A1692" s="3" t="s">
        <v>2795</v>
      </c>
      <c r="B1692" s="4" t="s">
        <v>568</v>
      </c>
      <c r="C1692" s="5">
        <v>2049.0</v>
      </c>
      <c r="D1692" s="8" t="str">
        <f>+41.905572°</f>
        <v>#ERROR!</v>
      </c>
      <c r="E1692" s="7" t="s">
        <v>2848</v>
      </c>
    </row>
    <row r="1693">
      <c r="A1693" s="3" t="s">
        <v>2795</v>
      </c>
      <c r="B1693" s="4" t="s">
        <v>2849</v>
      </c>
      <c r="C1693" s="5">
        <v>2044.0</v>
      </c>
      <c r="D1693" s="8" t="str">
        <f>+40.509838°</f>
        <v>#ERROR!</v>
      </c>
      <c r="E1693" s="7" t="s">
        <v>2850</v>
      </c>
    </row>
    <row r="1694">
      <c r="A1694" s="3" t="s">
        <v>2795</v>
      </c>
      <c r="B1694" s="4" t="s">
        <v>321</v>
      </c>
      <c r="C1694" s="7">
        <v>614.0</v>
      </c>
      <c r="D1694" s="8" t="str">
        <f>+41.915867°</f>
        <v>#ERROR!</v>
      </c>
      <c r="E1694" s="7" t="s">
        <v>2851</v>
      </c>
    </row>
    <row r="1695">
      <c r="A1695" s="3" t="s">
        <v>2795</v>
      </c>
      <c r="B1695" s="4" t="s">
        <v>1634</v>
      </c>
      <c r="C1695" s="5">
        <v>2538.0</v>
      </c>
      <c r="D1695" s="8" t="str">
        <f>+41.567600°</f>
        <v>#ERROR!</v>
      </c>
      <c r="E1695" s="7" t="s">
        <v>2852</v>
      </c>
    </row>
    <row r="1696">
      <c r="A1696" s="3" t="s">
        <v>2795</v>
      </c>
      <c r="B1696" s="4" t="s">
        <v>905</v>
      </c>
      <c r="C1696" s="5">
        <v>58607.0</v>
      </c>
      <c r="D1696" s="8" t="str">
        <f>+40.866023°</f>
        <v>#ERROR!</v>
      </c>
      <c r="E1696" s="7" t="s">
        <v>2853</v>
      </c>
    </row>
    <row r="1697">
      <c r="A1697" s="3" t="s">
        <v>2795</v>
      </c>
      <c r="B1697" s="4" t="s">
        <v>708</v>
      </c>
      <c r="C1697" s="5">
        <v>9124.0</v>
      </c>
      <c r="D1697" s="8" t="str">
        <f>+40.877145°</f>
        <v>#ERROR!</v>
      </c>
      <c r="E1697" s="7" t="s">
        <v>2854</v>
      </c>
    </row>
    <row r="1698">
      <c r="A1698" s="3" t="s">
        <v>2795</v>
      </c>
      <c r="B1698" s="4" t="s">
        <v>1825</v>
      </c>
      <c r="C1698" s="5">
        <v>3423.0</v>
      </c>
      <c r="D1698" s="8" t="str">
        <f>+40.178766°</f>
        <v>#ERROR!</v>
      </c>
      <c r="E1698" s="7" t="s">
        <v>2855</v>
      </c>
    </row>
    <row r="1699">
      <c r="A1699" s="3" t="s">
        <v>2795</v>
      </c>
      <c r="B1699" s="4" t="s">
        <v>2856</v>
      </c>
      <c r="C1699" s="7">
        <v>967.0</v>
      </c>
      <c r="D1699" s="8" t="str">
        <f>+40.535786°</f>
        <v>#ERROR!</v>
      </c>
      <c r="E1699" s="7" t="s">
        <v>2857</v>
      </c>
    </row>
    <row r="1700">
      <c r="A1700" s="3" t="s">
        <v>2795</v>
      </c>
      <c r="B1700" s="4" t="s">
        <v>2858</v>
      </c>
      <c r="C1700" s="5">
        <v>2908.0</v>
      </c>
      <c r="D1700" s="8" t="str">
        <f>+40.176896°</f>
        <v>#ERROR!</v>
      </c>
      <c r="E1700" s="7" t="s">
        <v>2859</v>
      </c>
    </row>
    <row r="1701">
      <c r="A1701" s="3" t="s">
        <v>2795</v>
      </c>
      <c r="B1701" s="4" t="s">
        <v>2605</v>
      </c>
      <c r="C1701" s="5">
        <v>10435.0</v>
      </c>
      <c r="D1701" s="8" t="str">
        <f>+42.459287°</f>
        <v>#ERROR!</v>
      </c>
      <c r="E1701" s="7" t="s">
        <v>2860</v>
      </c>
    </row>
    <row r="1702">
      <c r="A1702" s="3" t="s">
        <v>2795</v>
      </c>
      <c r="B1702" s="4" t="s">
        <v>2861</v>
      </c>
      <c r="C1702" s="7">
        <v>736.0</v>
      </c>
      <c r="D1702" s="8" t="str">
        <f>+41.918700°</f>
        <v>#ERROR!</v>
      </c>
      <c r="E1702" s="7" t="s">
        <v>2862</v>
      </c>
    </row>
    <row r="1703">
      <c r="A1703" s="3" t="s">
        <v>2795</v>
      </c>
      <c r="B1703" s="4" t="s">
        <v>328</v>
      </c>
      <c r="C1703" s="5">
        <v>6274.0</v>
      </c>
      <c r="D1703" s="8" t="str">
        <f>+41.219403°</f>
        <v>#ERROR!</v>
      </c>
      <c r="E1703" s="7" t="s">
        <v>2863</v>
      </c>
    </row>
    <row r="1704">
      <c r="A1704" s="3" t="s">
        <v>2795</v>
      </c>
      <c r="B1704" s="4" t="s">
        <v>111</v>
      </c>
      <c r="C1704" s="5">
        <v>7547.0</v>
      </c>
      <c r="D1704" s="8" t="str">
        <f>+40.175736°</f>
        <v>#ERROR!</v>
      </c>
      <c r="E1704" s="7" t="s">
        <v>2864</v>
      </c>
    </row>
    <row r="1705">
      <c r="A1705" s="3" t="s">
        <v>2795</v>
      </c>
      <c r="B1705" s="4" t="s">
        <v>336</v>
      </c>
      <c r="C1705" s="5">
        <v>5217.0</v>
      </c>
      <c r="D1705" s="8" t="str">
        <f>+40.395457°</f>
        <v>#ERROR!</v>
      </c>
      <c r="E1705" s="7" t="s">
        <v>2865</v>
      </c>
    </row>
    <row r="1706">
      <c r="A1706" s="3" t="s">
        <v>2795</v>
      </c>
      <c r="B1706" s="4" t="s">
        <v>2866</v>
      </c>
      <c r="C1706" s="5">
        <v>6489.0</v>
      </c>
      <c r="D1706" s="8" t="str">
        <f>+40.506269°</f>
        <v>#ERROR!</v>
      </c>
      <c r="E1706" s="7" t="s">
        <v>2867</v>
      </c>
    </row>
    <row r="1707">
      <c r="A1707" s="3" t="s">
        <v>2795</v>
      </c>
      <c r="B1707" s="4" t="s">
        <v>2868</v>
      </c>
      <c r="C1707" s="5">
        <v>8368.0</v>
      </c>
      <c r="D1707" s="8" t="str">
        <f>+41.194404°</f>
        <v>#ERROR!</v>
      </c>
      <c r="E1707" s="7" t="s">
        <v>2869</v>
      </c>
    </row>
    <row r="1708">
      <c r="A1708" s="3" t="s">
        <v>2795</v>
      </c>
      <c r="B1708" s="4" t="s">
        <v>2870</v>
      </c>
      <c r="C1708" s="7">
        <v>824.0</v>
      </c>
      <c r="D1708" s="8" t="str">
        <f>+42.875480°</f>
        <v>#ERROR!</v>
      </c>
      <c r="E1708" s="7" t="s">
        <v>2871</v>
      </c>
    </row>
    <row r="1709">
      <c r="A1709" s="3" t="s">
        <v>2795</v>
      </c>
      <c r="B1709" s="4" t="s">
        <v>2872</v>
      </c>
      <c r="C1709" s="5">
        <v>3821.0</v>
      </c>
      <c r="D1709" s="8" t="str">
        <f>+41.199155°</f>
        <v>#ERROR!</v>
      </c>
      <c r="E1709" s="7" t="s">
        <v>2873</v>
      </c>
    </row>
    <row r="1710">
      <c r="A1710" s="3" t="s">
        <v>2795</v>
      </c>
      <c r="B1710" s="4" t="s">
        <v>1216</v>
      </c>
      <c r="C1710" s="5">
        <v>8701.0</v>
      </c>
      <c r="D1710" s="8" t="str">
        <f>+42.634405°</f>
        <v>#ERROR!</v>
      </c>
      <c r="E1710" s="7" t="s">
        <v>2874</v>
      </c>
    </row>
    <row r="1711">
      <c r="A1711" s="3" t="s">
        <v>2795</v>
      </c>
      <c r="B1711" s="4" t="s">
        <v>2875</v>
      </c>
      <c r="C1711" s="5">
        <v>285407.0</v>
      </c>
      <c r="D1711" s="8" t="str">
        <f>+40.783547°</f>
        <v>#ERROR!</v>
      </c>
      <c r="E1711" s="7" t="s">
        <v>2876</v>
      </c>
    </row>
    <row r="1712">
      <c r="A1712" s="3" t="s">
        <v>2795</v>
      </c>
      <c r="B1712" s="4" t="s">
        <v>342</v>
      </c>
      <c r="C1712" s="5">
        <v>36288.0</v>
      </c>
      <c r="D1712" s="8" t="str">
        <f>+41.050322°</f>
        <v>#ERROR!</v>
      </c>
      <c r="E1712" s="7" t="s">
        <v>2877</v>
      </c>
    </row>
    <row r="1713">
      <c r="A1713" s="3" t="s">
        <v>2795</v>
      </c>
      <c r="B1713" s="4" t="s">
        <v>346</v>
      </c>
      <c r="C1713" s="7">
        <v>763.0</v>
      </c>
      <c r="D1713" s="8" t="str">
        <f>+41.542156°</f>
        <v>#ERROR!</v>
      </c>
      <c r="E1713" s="7" t="s">
        <v>2878</v>
      </c>
    </row>
    <row r="1714">
      <c r="A1714" s="3" t="s">
        <v>2795</v>
      </c>
      <c r="B1714" s="4" t="s">
        <v>2879</v>
      </c>
      <c r="C1714" s="7">
        <v>632.0</v>
      </c>
      <c r="D1714" s="8" t="str">
        <f>+41.897714°</f>
        <v>#ERROR!</v>
      </c>
      <c r="E1714" s="7" t="s">
        <v>2880</v>
      </c>
    </row>
    <row r="1715">
      <c r="A1715" s="3" t="s">
        <v>2795</v>
      </c>
      <c r="B1715" s="4" t="s">
        <v>1667</v>
      </c>
      <c r="C1715" s="7">
        <v>539.0</v>
      </c>
      <c r="D1715" s="8" t="str">
        <f>+41.596473°</f>
        <v>#ERROR!</v>
      </c>
      <c r="E1715" s="7" t="s">
        <v>2881</v>
      </c>
    </row>
    <row r="1716">
      <c r="A1716" s="3" t="s">
        <v>2795</v>
      </c>
      <c r="B1716" s="4" t="s">
        <v>135</v>
      </c>
      <c r="C1716" s="5">
        <v>34876.0</v>
      </c>
      <c r="D1716" s="8" t="str">
        <f>+41.909929°</f>
        <v>#ERROR!</v>
      </c>
      <c r="E1716" s="7" t="s">
        <v>2882</v>
      </c>
    </row>
    <row r="1717">
      <c r="A1717" s="3" t="s">
        <v>2795</v>
      </c>
      <c r="B1717" s="4" t="s">
        <v>2883</v>
      </c>
      <c r="C1717" s="5">
        <v>7845.0</v>
      </c>
      <c r="D1717" s="8" t="str">
        <f>+41.169801°</f>
        <v>#ERROR!</v>
      </c>
      <c r="E1717" s="7" t="s">
        <v>2884</v>
      </c>
    </row>
    <row r="1718">
      <c r="A1718" s="3" t="s">
        <v>2795</v>
      </c>
      <c r="B1718" s="4" t="s">
        <v>2885</v>
      </c>
      <c r="C1718" s="5">
        <v>5042.0</v>
      </c>
      <c r="D1718" s="8" t="str">
        <f>+41.732205°</f>
        <v>#ERROR!</v>
      </c>
      <c r="E1718" s="7" t="s">
        <v>2886</v>
      </c>
    </row>
    <row r="1719">
      <c r="A1719" s="3" t="s">
        <v>2795</v>
      </c>
      <c r="B1719" s="4" t="s">
        <v>2887</v>
      </c>
      <c r="C1719" s="5">
        <v>3735.0</v>
      </c>
      <c r="D1719" s="8" t="str">
        <f>+41.402386°</f>
        <v>#ERROR!</v>
      </c>
      <c r="E1719" s="7" t="s">
        <v>2888</v>
      </c>
    </row>
    <row r="1720">
      <c r="A1720" s="3" t="s">
        <v>2795</v>
      </c>
      <c r="B1720" s="4" t="s">
        <v>1680</v>
      </c>
      <c r="C1720" s="5">
        <v>7248.0</v>
      </c>
      <c r="D1720" s="8" t="str">
        <f>+40.387448°</f>
        <v>#ERROR!</v>
      </c>
      <c r="E1720" s="7" t="s">
        <v>2889</v>
      </c>
    </row>
    <row r="1721">
      <c r="A1721" s="3" t="s">
        <v>2795</v>
      </c>
      <c r="B1721" s="4" t="s">
        <v>2890</v>
      </c>
      <c r="C1721" s="5">
        <v>4500.0</v>
      </c>
      <c r="D1721" s="8" t="str">
        <f>+40.176492°</f>
        <v>#ERROR!</v>
      </c>
      <c r="E1721" s="7" t="s">
        <v>2891</v>
      </c>
    </row>
    <row r="1722">
      <c r="A1722" s="3" t="s">
        <v>2795</v>
      </c>
      <c r="B1722" s="4" t="s">
        <v>2892</v>
      </c>
      <c r="C1722" s="5">
        <v>15740.0</v>
      </c>
      <c r="D1722" s="8" t="str">
        <f>+40.637992°</f>
        <v>#ERROR!</v>
      </c>
      <c r="E1722" s="7" t="s">
        <v>2893</v>
      </c>
    </row>
    <row r="1723">
      <c r="A1723" s="3" t="s">
        <v>2795</v>
      </c>
      <c r="B1723" s="4" t="s">
        <v>1694</v>
      </c>
      <c r="C1723" s="5">
        <v>2773.0</v>
      </c>
      <c r="D1723" s="8" t="str">
        <f>+40.137850°</f>
        <v>#ERROR!</v>
      </c>
      <c r="E1723" s="7" t="s">
        <v>2894</v>
      </c>
    </row>
    <row r="1724">
      <c r="A1724" s="3" t="s">
        <v>2795</v>
      </c>
      <c r="B1724" s="4" t="s">
        <v>2895</v>
      </c>
      <c r="C1724" s="5">
        <v>2970.0</v>
      </c>
      <c r="D1724" s="8" t="str">
        <f>+40.856065°</f>
        <v>#ERROR!</v>
      </c>
      <c r="E1724" s="7" t="s">
        <v>2896</v>
      </c>
    </row>
    <row r="1725">
      <c r="A1725" s="3" t="s">
        <v>2795</v>
      </c>
      <c r="B1725" s="4" t="s">
        <v>2654</v>
      </c>
      <c r="C1725" s="5">
        <v>9188.0</v>
      </c>
      <c r="D1725" s="8" t="str">
        <f>+40.516365°</f>
        <v>#ERROR!</v>
      </c>
      <c r="E1725" s="7" t="s">
        <v>2897</v>
      </c>
    </row>
    <row r="1726">
      <c r="A1726" s="3" t="s">
        <v>2795</v>
      </c>
      <c r="B1726" s="4" t="s">
        <v>974</v>
      </c>
      <c r="C1726" s="5">
        <v>7266.0</v>
      </c>
      <c r="D1726" s="8" t="str">
        <f>+42.271413°</f>
        <v>#ERROR!</v>
      </c>
      <c r="E1726" s="7" t="s">
        <v>2898</v>
      </c>
    </row>
    <row r="1727">
      <c r="A1727" s="3" t="s">
        <v>2795</v>
      </c>
      <c r="B1727" s="4" t="s">
        <v>2657</v>
      </c>
      <c r="C1727" s="5">
        <v>32237.0</v>
      </c>
      <c r="D1727" s="8" t="str">
        <f>+41.576866°</f>
        <v>#ERROR!</v>
      </c>
      <c r="E1727" s="7" t="s">
        <v>2899</v>
      </c>
    </row>
    <row r="1728">
      <c r="A1728" s="3" t="s">
        <v>2795</v>
      </c>
      <c r="B1728" s="4" t="s">
        <v>370</v>
      </c>
      <c r="C1728" s="5">
        <v>5406.0</v>
      </c>
      <c r="D1728" s="8" t="str">
        <f>+41.187925°</f>
        <v>#ERROR!</v>
      </c>
      <c r="E1728" s="7" t="s">
        <v>2900</v>
      </c>
    </row>
    <row r="1729">
      <c r="A1729" s="3" t="s">
        <v>2795</v>
      </c>
      <c r="B1729" s="4" t="s">
        <v>2901</v>
      </c>
      <c r="C1729" s="5">
        <v>11055.0</v>
      </c>
      <c r="D1729" s="8" t="str">
        <f>+40.169420°</f>
        <v>#ERROR!</v>
      </c>
      <c r="E1729" s="7" t="s">
        <v>2902</v>
      </c>
    </row>
    <row r="1730">
      <c r="A1730" s="3" t="s">
        <v>2795</v>
      </c>
      <c r="B1730" s="4" t="s">
        <v>2903</v>
      </c>
      <c r="C1730" s="5">
        <v>8363.0</v>
      </c>
      <c r="D1730" s="8" t="str">
        <f>+40.123743°</f>
        <v>#ERROR!</v>
      </c>
      <c r="E1730" s="7" t="s">
        <v>2904</v>
      </c>
    </row>
    <row r="1731">
      <c r="A1731" s="3" t="s">
        <v>2795</v>
      </c>
      <c r="B1731" s="4" t="s">
        <v>2393</v>
      </c>
      <c r="C1731" s="5">
        <v>1526.0</v>
      </c>
      <c r="D1731" s="8" t="str">
        <f>+42.413325°</f>
        <v>#ERROR!</v>
      </c>
      <c r="E1731" s="7" t="s">
        <v>2905</v>
      </c>
    </row>
    <row r="1732">
      <c r="A1732" s="3" t="s">
        <v>2795</v>
      </c>
      <c r="B1732" s="4" t="s">
        <v>381</v>
      </c>
      <c r="C1732" s="5">
        <v>14200.0</v>
      </c>
      <c r="D1732" s="8" t="str">
        <f>+40.516802°</f>
        <v>#ERROR!</v>
      </c>
      <c r="E1732" s="7" t="s">
        <v>2906</v>
      </c>
    </row>
    <row r="1733">
      <c r="A1733" s="3" t="s">
        <v>2795</v>
      </c>
      <c r="B1733" s="4" t="s">
        <v>2907</v>
      </c>
      <c r="C1733" s="5">
        <v>158840.0</v>
      </c>
      <c r="D1733" s="8" t="str">
        <f>+41.115064°</f>
        <v>#ERROR!</v>
      </c>
      <c r="E1733" s="7" t="s">
        <v>2908</v>
      </c>
    </row>
    <row r="1734">
      <c r="A1734" s="3" t="s">
        <v>2795</v>
      </c>
      <c r="B1734" s="4" t="s">
        <v>2909</v>
      </c>
      <c r="C1734" s="5">
        <v>20780.0</v>
      </c>
      <c r="D1734" s="8" t="str">
        <f>+41.223152°</f>
        <v>#ERROR!</v>
      </c>
      <c r="E1734" s="7" t="s">
        <v>2910</v>
      </c>
    </row>
    <row r="1735">
      <c r="A1735" s="3" t="s">
        <v>2795</v>
      </c>
      <c r="B1735" s="4" t="s">
        <v>2911</v>
      </c>
      <c r="C1735" s="5">
        <v>36970.0</v>
      </c>
      <c r="D1735" s="8" t="str">
        <f>+41.851589°</f>
        <v>#ERROR!</v>
      </c>
      <c r="E1735" s="7" t="s">
        <v>2912</v>
      </c>
    </row>
    <row r="1736">
      <c r="A1736" s="3" t="s">
        <v>2795</v>
      </c>
      <c r="B1736" s="4" t="s">
        <v>1718</v>
      </c>
      <c r="C1736" s="5">
        <v>16750.0</v>
      </c>
      <c r="D1736" s="8" t="str">
        <f>+40.871944°</f>
        <v>#ERROR!</v>
      </c>
      <c r="E1736" s="7" t="s">
        <v>2913</v>
      </c>
    </row>
    <row r="1737">
      <c r="A1737" s="3" t="s">
        <v>2795</v>
      </c>
      <c r="B1737" s="4" t="s">
        <v>1722</v>
      </c>
      <c r="C1737" s="5">
        <v>5469.0</v>
      </c>
      <c r="D1737" s="8" t="str">
        <f>+42.507074°</f>
        <v>#ERROR!</v>
      </c>
      <c r="E1737" s="7" t="s">
        <v>2914</v>
      </c>
    </row>
    <row r="1738">
      <c r="A1738" s="3" t="s">
        <v>2795</v>
      </c>
      <c r="B1738" s="4" t="s">
        <v>1724</v>
      </c>
      <c r="C1738" s="5">
        <v>3152.0</v>
      </c>
      <c r="D1738" s="8" t="str">
        <f>+41.218743°</f>
        <v>#ERROR!</v>
      </c>
      <c r="E1738" s="7" t="s">
        <v>2915</v>
      </c>
    </row>
    <row r="1739">
      <c r="A1739" s="3" t="s">
        <v>2795</v>
      </c>
      <c r="B1739" s="4" t="s">
        <v>1556</v>
      </c>
      <c r="C1739" s="5">
        <v>1311.0</v>
      </c>
      <c r="D1739" s="8" t="str">
        <f>+42.483806°</f>
        <v>#ERROR!</v>
      </c>
      <c r="E1739" s="7" t="s">
        <v>2916</v>
      </c>
    </row>
    <row r="1740">
      <c r="A1740" s="3" t="s">
        <v>2795</v>
      </c>
      <c r="B1740" s="4" t="s">
        <v>1730</v>
      </c>
      <c r="C1740" s="5">
        <v>6129.0</v>
      </c>
      <c r="D1740" s="8" t="str">
        <f>+41.904793°</f>
        <v>#ERROR!</v>
      </c>
      <c r="E1740" s="7" t="s">
        <v>2917</v>
      </c>
    </row>
    <row r="1741">
      <c r="A1741" s="3" t="s">
        <v>2795</v>
      </c>
      <c r="B1741" s="4" t="s">
        <v>2918</v>
      </c>
      <c r="C1741" s="5">
        <v>5228.0</v>
      </c>
      <c r="D1741" s="8" t="str">
        <f>+40.173845°</f>
        <v>#ERROR!</v>
      </c>
      <c r="E1741" s="7" t="s">
        <v>2919</v>
      </c>
    </row>
    <row r="1742">
      <c r="A1742" s="3" t="s">
        <v>2795</v>
      </c>
      <c r="B1742" s="4" t="s">
        <v>1012</v>
      </c>
      <c r="C1742" s="7">
        <v>647.0</v>
      </c>
      <c r="D1742" s="8" t="str">
        <f>+41.848620°</f>
        <v>#ERROR!</v>
      </c>
      <c r="E1742" s="7" t="s">
        <v>2920</v>
      </c>
    </row>
    <row r="1743">
      <c r="A1743" s="3" t="s">
        <v>2795</v>
      </c>
      <c r="B1743" s="4" t="s">
        <v>2921</v>
      </c>
      <c r="C1743" s="5">
        <v>6940.0</v>
      </c>
      <c r="D1743" s="8" t="str">
        <f>+42.154061°</f>
        <v>#ERROR!</v>
      </c>
      <c r="E1743" s="7" t="s">
        <v>2922</v>
      </c>
    </row>
    <row r="1744">
      <c r="A1744" s="3" t="s">
        <v>2795</v>
      </c>
      <c r="B1744" s="4" t="s">
        <v>1140</v>
      </c>
      <c r="C1744" s="5">
        <v>4260.0</v>
      </c>
      <c r="D1744" s="8" t="str">
        <f>+41.564094°</f>
        <v>#ERROR!</v>
      </c>
      <c r="E1744" s="7" t="s">
        <v>2923</v>
      </c>
    </row>
    <row r="1745">
      <c r="A1745" s="3" t="s">
        <v>2795</v>
      </c>
      <c r="B1745" s="4" t="s">
        <v>177</v>
      </c>
      <c r="C1745" s="5">
        <v>20234.0</v>
      </c>
      <c r="D1745" s="8" t="str">
        <f>+41.533979°</f>
        <v>#ERROR!</v>
      </c>
      <c r="E1745" s="7" t="s">
        <v>2924</v>
      </c>
    </row>
    <row r="1746">
      <c r="A1746" s="3" t="s">
        <v>2795</v>
      </c>
      <c r="B1746" s="4" t="s">
        <v>1038</v>
      </c>
      <c r="C1746" s="5">
        <v>9595.0</v>
      </c>
      <c r="D1746" s="8" t="str">
        <f>+42.210746°</f>
        <v>#ERROR!</v>
      </c>
      <c r="E1746" s="7" t="s">
        <v>2925</v>
      </c>
    </row>
    <row r="1747">
      <c r="A1747" s="3" t="s">
        <v>2795</v>
      </c>
      <c r="B1747" s="4" t="s">
        <v>1040</v>
      </c>
      <c r="C1747" s="5">
        <v>3812.0</v>
      </c>
      <c r="D1747" s="8" t="str">
        <f>+40.180646°</f>
        <v>#ERROR!</v>
      </c>
      <c r="E1747" s="7" t="s">
        <v>2926</v>
      </c>
    </row>
    <row r="1748">
      <c r="A1748" s="3" t="s">
        <v>2795</v>
      </c>
      <c r="B1748" s="4" t="s">
        <v>1042</v>
      </c>
      <c r="C1748" s="7">
        <v>818.0</v>
      </c>
      <c r="D1748" s="8" t="str">
        <f>+41.937859°</f>
        <v>#ERROR!</v>
      </c>
      <c r="E1748" s="7" t="s">
        <v>2927</v>
      </c>
    </row>
    <row r="1749">
      <c r="A1749" s="3" t="s">
        <v>2795</v>
      </c>
      <c r="B1749" s="4" t="s">
        <v>2065</v>
      </c>
      <c r="C1749" s="5">
        <v>13665.0</v>
      </c>
      <c r="D1749" s="8" t="str">
        <f>+40.873056°</f>
        <v>#ERROR!</v>
      </c>
      <c r="E1749" s="7" t="s">
        <v>2928</v>
      </c>
    </row>
    <row r="1750">
      <c r="A1750" s="3" t="s">
        <v>2929</v>
      </c>
      <c r="B1750" s="4" t="s">
        <v>2930</v>
      </c>
      <c r="C1750" s="5">
        <v>24877.0</v>
      </c>
      <c r="D1750" s="8" t="str">
        <f>+39.525701°</f>
        <v>#ERROR!</v>
      </c>
      <c r="E1750" s="7" t="s">
        <v>2931</v>
      </c>
    </row>
    <row r="1751">
      <c r="A1751" s="3" t="s">
        <v>2929</v>
      </c>
      <c r="B1751" s="4" t="s">
        <v>291</v>
      </c>
      <c r="C1751" s="5">
        <v>1951269.0</v>
      </c>
      <c r="D1751" s="8" t="str">
        <f>+36.214236°</f>
        <v>#ERROR!</v>
      </c>
      <c r="E1751" s="7" t="s">
        <v>2932</v>
      </c>
    </row>
    <row r="1752">
      <c r="A1752" s="3" t="s">
        <v>2929</v>
      </c>
      <c r="B1752" s="4" t="s">
        <v>558</v>
      </c>
      <c r="C1752" s="5">
        <v>46997.0</v>
      </c>
      <c r="D1752" s="8" t="str">
        <f>+38.905129°</f>
        <v>#ERROR!</v>
      </c>
      <c r="E1752" s="7" t="s">
        <v>2933</v>
      </c>
    </row>
    <row r="1753">
      <c r="A1753" s="3" t="s">
        <v>2929</v>
      </c>
      <c r="B1753" s="4" t="s">
        <v>2934</v>
      </c>
      <c r="C1753" s="5">
        <v>48818.0</v>
      </c>
      <c r="D1753" s="8" t="str">
        <f>+41.141133°</f>
        <v>#ERROR!</v>
      </c>
      <c r="E1753" s="7" t="s">
        <v>2935</v>
      </c>
    </row>
    <row r="1754">
      <c r="A1754" s="3" t="s">
        <v>2929</v>
      </c>
      <c r="B1754" s="4" t="s">
        <v>2936</v>
      </c>
      <c r="C1754" s="7">
        <v>783.0</v>
      </c>
      <c r="D1754" s="8" t="str">
        <f>+37.778966°</f>
        <v>#ERROR!</v>
      </c>
      <c r="E1754" s="7" t="s">
        <v>2937</v>
      </c>
    </row>
    <row r="1755">
      <c r="A1755" s="3" t="s">
        <v>2929</v>
      </c>
      <c r="B1755" s="4" t="s">
        <v>2938</v>
      </c>
      <c r="C1755" s="5">
        <v>1987.0</v>
      </c>
      <c r="D1755" s="8" t="str">
        <f>+39.977788°</f>
        <v>#ERROR!</v>
      </c>
      <c r="E1755" s="7" t="s">
        <v>2939</v>
      </c>
    </row>
    <row r="1756">
      <c r="A1756" s="3" t="s">
        <v>2929</v>
      </c>
      <c r="B1756" s="4" t="s">
        <v>429</v>
      </c>
      <c r="C1756" s="5">
        <v>16528.0</v>
      </c>
      <c r="D1756" s="8" t="str">
        <f>+41.407914°</f>
        <v>#ERROR!</v>
      </c>
      <c r="E1756" s="7" t="s">
        <v>2940</v>
      </c>
    </row>
    <row r="1757">
      <c r="A1757" s="3" t="s">
        <v>2929</v>
      </c>
      <c r="B1757" s="4" t="s">
        <v>2941</v>
      </c>
      <c r="C1757" s="5">
        <v>5775.0</v>
      </c>
      <c r="D1757" s="8" t="str">
        <f>+39.900211°</f>
        <v>#ERROR!</v>
      </c>
      <c r="E1757" s="7" t="s">
        <v>2942</v>
      </c>
    </row>
    <row r="1758">
      <c r="A1758" s="3" t="s">
        <v>2929</v>
      </c>
      <c r="B1758" s="4" t="s">
        <v>342</v>
      </c>
      <c r="C1758" s="5">
        <v>5345.0</v>
      </c>
      <c r="D1758" s="8" t="str">
        <f>+37.634605°</f>
        <v>#ERROR!</v>
      </c>
      <c r="E1758" s="7" t="s">
        <v>2943</v>
      </c>
    </row>
    <row r="1759">
      <c r="A1759" s="3" t="s">
        <v>2929</v>
      </c>
      <c r="B1759" s="4" t="s">
        <v>1518</v>
      </c>
      <c r="C1759" s="5">
        <v>51980.0</v>
      </c>
      <c r="D1759" s="8" t="str">
        <f>+39.022214°</f>
        <v>#ERROR!</v>
      </c>
      <c r="E1759" s="7" t="s">
        <v>2944</v>
      </c>
    </row>
    <row r="1760">
      <c r="A1760" s="3" t="s">
        <v>2929</v>
      </c>
      <c r="B1760" s="4" t="s">
        <v>597</v>
      </c>
      <c r="C1760" s="5">
        <v>4772.0</v>
      </c>
      <c r="D1760" s="8" t="str">
        <f>+38.516647°</f>
        <v>#ERROR!</v>
      </c>
      <c r="E1760" s="7" t="s">
        <v>2945</v>
      </c>
    </row>
    <row r="1761">
      <c r="A1761" s="3" t="s">
        <v>2929</v>
      </c>
      <c r="B1761" s="4" t="s">
        <v>2946</v>
      </c>
      <c r="C1761" s="5">
        <v>43946.0</v>
      </c>
      <c r="D1761" s="8" t="str">
        <f>+37.966379°</f>
        <v>#ERROR!</v>
      </c>
      <c r="E1761" s="7" t="s">
        <v>2947</v>
      </c>
    </row>
    <row r="1762">
      <c r="A1762" s="3" t="s">
        <v>2929</v>
      </c>
      <c r="B1762" s="4" t="s">
        <v>2948</v>
      </c>
      <c r="C1762" s="5">
        <v>6753.0</v>
      </c>
      <c r="D1762" s="8" t="str">
        <f>+40.439639°</f>
        <v>#ERROR!</v>
      </c>
      <c r="E1762" s="7" t="s">
        <v>2949</v>
      </c>
    </row>
    <row r="1763">
      <c r="A1763" s="3" t="s">
        <v>2929</v>
      </c>
      <c r="B1763" s="4" t="s">
        <v>2950</v>
      </c>
      <c r="C1763" s="5">
        <v>4010.0</v>
      </c>
      <c r="D1763" s="8" t="str">
        <f>+39.438385°</f>
        <v>#ERROR!</v>
      </c>
      <c r="E1763" s="7" t="s">
        <v>2951</v>
      </c>
    </row>
    <row r="1764">
      <c r="A1764" s="3" t="s">
        <v>2929</v>
      </c>
      <c r="B1764" s="4" t="s">
        <v>2952</v>
      </c>
      <c r="C1764" s="5">
        <v>421407.0</v>
      </c>
      <c r="D1764" s="8" t="str">
        <f>+40.703311°</f>
        <v>#ERROR!</v>
      </c>
      <c r="E1764" s="7" t="s">
        <v>2953</v>
      </c>
    </row>
    <row r="1765">
      <c r="A1765" s="3" t="s">
        <v>2929</v>
      </c>
      <c r="B1765" s="4" t="s">
        <v>2954</v>
      </c>
      <c r="C1765" s="5">
        <v>10030.0</v>
      </c>
      <c r="D1765" s="8" t="str">
        <f>+39.417804°</f>
        <v>#ERROR!</v>
      </c>
      <c r="E1765" s="7" t="s">
        <v>2955</v>
      </c>
    </row>
    <row r="1766">
      <c r="A1766" s="3" t="s">
        <v>2929</v>
      </c>
      <c r="B1766" s="4" t="s">
        <v>2956</v>
      </c>
      <c r="C1766" s="5">
        <v>55274.0</v>
      </c>
      <c r="D1766" s="8" t="str">
        <f>+39.153447°</f>
        <v>#ERROR!</v>
      </c>
      <c r="E1766" s="7" t="s">
        <v>2957</v>
      </c>
    </row>
    <row r="1767">
      <c r="A1767" s="3" t="s">
        <v>2958</v>
      </c>
      <c r="B1767" s="4" t="s">
        <v>2959</v>
      </c>
      <c r="C1767" s="5">
        <v>60088.0</v>
      </c>
      <c r="D1767" s="8" t="str">
        <f>+43.519109°</f>
        <v>#ERROR!</v>
      </c>
      <c r="E1767" s="7" t="s">
        <v>2960</v>
      </c>
    </row>
    <row r="1768">
      <c r="A1768" s="3" t="s">
        <v>2958</v>
      </c>
      <c r="B1768" s="4" t="s">
        <v>287</v>
      </c>
      <c r="C1768" s="5">
        <v>47818.0</v>
      </c>
      <c r="D1768" s="8" t="str">
        <f>+43.867567°</f>
        <v>#ERROR!</v>
      </c>
      <c r="E1768" s="7" t="s">
        <v>2961</v>
      </c>
    </row>
    <row r="1769">
      <c r="A1769" s="3" t="s">
        <v>2958</v>
      </c>
      <c r="B1769" s="4" t="s">
        <v>2962</v>
      </c>
      <c r="C1769" s="5">
        <v>77117.0</v>
      </c>
      <c r="D1769" s="8" t="str">
        <f>+42.925455°</f>
        <v>#ERROR!</v>
      </c>
      <c r="E1769" s="7" t="s">
        <v>2963</v>
      </c>
    </row>
    <row r="1770">
      <c r="A1770" s="3" t="s">
        <v>2958</v>
      </c>
      <c r="B1770" s="4" t="s">
        <v>2964</v>
      </c>
      <c r="C1770" s="5">
        <v>33055.0</v>
      </c>
      <c r="D1770" s="8" t="str">
        <f>+44.652419°</f>
        <v>#ERROR!</v>
      </c>
      <c r="E1770" s="7" t="s">
        <v>2965</v>
      </c>
    </row>
    <row r="1771">
      <c r="A1771" s="3" t="s">
        <v>2958</v>
      </c>
      <c r="B1771" s="4" t="s">
        <v>2966</v>
      </c>
      <c r="C1771" s="5">
        <v>89118.0</v>
      </c>
      <c r="D1771" s="8" t="str">
        <f>+43.926488°</f>
        <v>#ERROR!</v>
      </c>
      <c r="E1771" s="7" t="s">
        <v>2967</v>
      </c>
    </row>
    <row r="1772">
      <c r="A1772" s="3" t="s">
        <v>2958</v>
      </c>
      <c r="B1772" s="4" t="s">
        <v>718</v>
      </c>
      <c r="C1772" s="5">
        <v>400721.0</v>
      </c>
      <c r="D1772" s="8" t="str">
        <f>+42.911643°</f>
        <v>#ERROR!</v>
      </c>
      <c r="E1772" s="7" t="s">
        <v>2968</v>
      </c>
    </row>
    <row r="1773">
      <c r="A1773" s="3" t="s">
        <v>2958</v>
      </c>
      <c r="B1773" s="4" t="s">
        <v>2969</v>
      </c>
      <c r="C1773" s="5">
        <v>146445.0</v>
      </c>
      <c r="D1773" s="8" t="str">
        <f>+43.299485°</f>
        <v>#ERROR!</v>
      </c>
      <c r="E1773" s="7" t="s">
        <v>2970</v>
      </c>
    </row>
    <row r="1774">
      <c r="A1774" s="3" t="s">
        <v>2958</v>
      </c>
      <c r="B1774" s="4" t="s">
        <v>2971</v>
      </c>
      <c r="C1774" s="5">
        <v>295223.0</v>
      </c>
      <c r="D1774" s="8" t="str">
        <f>+42.989360°</f>
        <v>#ERROR!</v>
      </c>
      <c r="E1774" s="7" t="s">
        <v>2972</v>
      </c>
    </row>
    <row r="1775">
      <c r="A1775" s="3" t="s">
        <v>2958</v>
      </c>
      <c r="B1775" s="4" t="s">
        <v>2973</v>
      </c>
      <c r="C1775" s="5">
        <v>123143.0</v>
      </c>
      <c r="D1775" s="8" t="str">
        <f>+43.293177°</f>
        <v>#ERROR!</v>
      </c>
      <c r="E1775" s="7" t="s">
        <v>2974</v>
      </c>
    </row>
    <row r="1776">
      <c r="A1776" s="3" t="s">
        <v>2958</v>
      </c>
      <c r="B1776" s="4" t="s">
        <v>1408</v>
      </c>
      <c r="C1776" s="5">
        <v>43742.0</v>
      </c>
      <c r="D1776" s="8" t="str">
        <f>+43.361188°</f>
        <v>#ERROR!</v>
      </c>
      <c r="E1776" s="7" t="s">
        <v>2975</v>
      </c>
    </row>
    <row r="1777">
      <c r="A1777" s="3" t="s">
        <v>2976</v>
      </c>
      <c r="B1777" s="4" t="s">
        <v>2977</v>
      </c>
      <c r="C1777" s="5">
        <v>274549.0</v>
      </c>
      <c r="D1777" s="8" t="str">
        <f>+39.469354°</f>
        <v>#ERROR!</v>
      </c>
      <c r="E1777" s="7" t="s">
        <v>2978</v>
      </c>
    </row>
    <row r="1778">
      <c r="A1778" s="3" t="s">
        <v>2976</v>
      </c>
      <c r="B1778" s="4" t="s">
        <v>2979</v>
      </c>
      <c r="C1778" s="5">
        <v>905116.0</v>
      </c>
      <c r="D1778" s="8" t="str">
        <f>+40.959090°</f>
        <v>#ERROR!</v>
      </c>
      <c r="E1778" s="7" t="s">
        <v>2980</v>
      </c>
    </row>
    <row r="1779">
      <c r="A1779" s="3" t="s">
        <v>2976</v>
      </c>
      <c r="B1779" s="4" t="s">
        <v>2981</v>
      </c>
      <c r="C1779" s="5">
        <v>448734.0</v>
      </c>
      <c r="D1779" s="8" t="str">
        <f>+39.875786°</f>
        <v>#ERROR!</v>
      </c>
      <c r="E1779" s="7" t="s">
        <v>2982</v>
      </c>
    </row>
    <row r="1780">
      <c r="A1780" s="3" t="s">
        <v>2976</v>
      </c>
      <c r="B1780" s="4" t="s">
        <v>820</v>
      </c>
      <c r="C1780" s="5">
        <v>513657.0</v>
      </c>
      <c r="D1780" s="8" t="str">
        <f>+39.802352°</f>
        <v>#ERROR!</v>
      </c>
      <c r="E1780" s="7" t="s">
        <v>2983</v>
      </c>
    </row>
    <row r="1781">
      <c r="A1781" s="3" t="s">
        <v>2976</v>
      </c>
      <c r="B1781" s="4" t="s">
        <v>2984</v>
      </c>
      <c r="C1781" s="5">
        <v>97265.0</v>
      </c>
      <c r="D1781" s="8" t="str">
        <f>+39.086143°</f>
        <v>#ERROR!</v>
      </c>
      <c r="E1781" s="7" t="s">
        <v>2985</v>
      </c>
    </row>
    <row r="1782">
      <c r="A1782" s="3" t="s">
        <v>2976</v>
      </c>
      <c r="B1782" s="4" t="s">
        <v>1170</v>
      </c>
      <c r="C1782" s="5">
        <v>156898.0</v>
      </c>
      <c r="D1782" s="8" t="str">
        <f>+39.328387°</f>
        <v>#ERROR!</v>
      </c>
      <c r="E1782" s="7" t="s">
        <v>2986</v>
      </c>
    </row>
    <row r="1783">
      <c r="A1783" s="3" t="s">
        <v>2976</v>
      </c>
      <c r="B1783" s="4" t="s">
        <v>2118</v>
      </c>
      <c r="C1783" s="5">
        <v>783969.0</v>
      </c>
      <c r="D1783" s="8" t="str">
        <f>+40.787217°</f>
        <v>#ERROR!</v>
      </c>
      <c r="E1783" s="7" t="s">
        <v>2987</v>
      </c>
    </row>
    <row r="1784">
      <c r="A1784" s="3" t="s">
        <v>2976</v>
      </c>
      <c r="B1784" s="4" t="s">
        <v>2988</v>
      </c>
      <c r="C1784" s="5">
        <v>288288.0</v>
      </c>
      <c r="D1784" s="8" t="str">
        <f>+39.721019°</f>
        <v>#ERROR!</v>
      </c>
      <c r="E1784" s="7" t="s">
        <v>2989</v>
      </c>
    </row>
    <row r="1785">
      <c r="A1785" s="3" t="s">
        <v>2976</v>
      </c>
      <c r="B1785" s="4" t="s">
        <v>2990</v>
      </c>
      <c r="C1785" s="5">
        <v>634266.0</v>
      </c>
      <c r="D1785" s="8" t="str">
        <f>+40.731384°</f>
        <v>#ERROR!</v>
      </c>
      <c r="E1785" s="7" t="s">
        <v>2991</v>
      </c>
    </row>
    <row r="1786">
      <c r="A1786" s="3" t="s">
        <v>2976</v>
      </c>
      <c r="B1786" s="4" t="s">
        <v>2992</v>
      </c>
      <c r="C1786" s="5">
        <v>128349.0</v>
      </c>
      <c r="D1786" s="8" t="str">
        <f>+40.565283°</f>
        <v>#ERROR!</v>
      </c>
      <c r="E1786" s="7" t="s">
        <v>2993</v>
      </c>
    </row>
    <row r="1787">
      <c r="A1787" s="3" t="s">
        <v>2976</v>
      </c>
      <c r="B1787" s="4" t="s">
        <v>1244</v>
      </c>
      <c r="C1787" s="5">
        <v>366513.0</v>
      </c>
      <c r="D1787" s="8" t="str">
        <f>+40.282503°</f>
        <v>#ERROR!</v>
      </c>
      <c r="E1787" s="7" t="s">
        <v>2994</v>
      </c>
    </row>
    <row r="1788">
      <c r="A1788" s="3" t="s">
        <v>2976</v>
      </c>
      <c r="B1788" s="4" t="s">
        <v>2125</v>
      </c>
      <c r="C1788" s="5">
        <v>809858.0</v>
      </c>
      <c r="D1788" s="8" t="str">
        <f>+40.439593°</f>
        <v>#ERROR!</v>
      </c>
      <c r="E1788" s="7" t="s">
        <v>2995</v>
      </c>
    </row>
    <row r="1789">
      <c r="A1789" s="3" t="s">
        <v>2976</v>
      </c>
      <c r="B1789" s="4" t="s">
        <v>2996</v>
      </c>
      <c r="C1789" s="5">
        <v>630380.0</v>
      </c>
      <c r="D1789" s="8" t="str">
        <f>+40.287056°</f>
        <v>#ERROR!</v>
      </c>
      <c r="E1789" s="7" t="s">
        <v>2997</v>
      </c>
    </row>
    <row r="1790">
      <c r="A1790" s="3" t="s">
        <v>2976</v>
      </c>
      <c r="B1790" s="4" t="s">
        <v>1676</v>
      </c>
      <c r="C1790" s="5">
        <v>492276.0</v>
      </c>
      <c r="D1790" s="8" t="str">
        <f>+40.858581°</f>
        <v>#ERROR!</v>
      </c>
      <c r="E1790" s="7" t="s">
        <v>2998</v>
      </c>
    </row>
    <row r="1791">
      <c r="A1791" s="3" t="s">
        <v>2976</v>
      </c>
      <c r="B1791" s="4" t="s">
        <v>2999</v>
      </c>
      <c r="C1791" s="5">
        <v>576567.0</v>
      </c>
      <c r="D1791" s="8" t="str">
        <f>+39.865850°</f>
        <v>#ERROR!</v>
      </c>
      <c r="E1791" s="7" t="s">
        <v>3000</v>
      </c>
    </row>
    <row r="1792">
      <c r="A1792" s="3" t="s">
        <v>2976</v>
      </c>
      <c r="B1792" s="4" t="s">
        <v>3001</v>
      </c>
      <c r="C1792" s="5">
        <v>501226.0</v>
      </c>
      <c r="D1792" s="8" t="str">
        <f>+41.033763°</f>
        <v>#ERROR!</v>
      </c>
      <c r="E1792" s="7" t="s">
        <v>3002</v>
      </c>
    </row>
    <row r="1793">
      <c r="A1793" s="3" t="s">
        <v>2976</v>
      </c>
      <c r="B1793" s="4" t="s">
        <v>3003</v>
      </c>
      <c r="C1793" s="5">
        <v>66083.0</v>
      </c>
      <c r="D1793" s="8" t="str">
        <f>+39.573828°</f>
        <v>#ERROR!</v>
      </c>
      <c r="E1793" s="7" t="s">
        <v>3004</v>
      </c>
    </row>
    <row r="1794">
      <c r="A1794" s="3" t="s">
        <v>2976</v>
      </c>
      <c r="B1794" s="4" t="s">
        <v>2060</v>
      </c>
      <c r="C1794" s="5">
        <v>323444.0</v>
      </c>
      <c r="D1794" s="8" t="str">
        <f>+40.565522°</f>
        <v>#ERROR!</v>
      </c>
      <c r="E1794" s="7" t="s">
        <v>3005</v>
      </c>
    </row>
    <row r="1795">
      <c r="A1795" s="3" t="s">
        <v>2976</v>
      </c>
      <c r="B1795" s="4" t="s">
        <v>663</v>
      </c>
      <c r="C1795" s="5">
        <v>149265.0</v>
      </c>
      <c r="D1795" s="8" t="str">
        <f>+41.137424°</f>
        <v>#ERROR!</v>
      </c>
      <c r="E1795" s="7" t="s">
        <v>3006</v>
      </c>
    </row>
    <row r="1796">
      <c r="A1796" s="3" t="s">
        <v>2976</v>
      </c>
      <c r="B1796" s="4" t="s">
        <v>395</v>
      </c>
      <c r="C1796" s="5">
        <v>536499.0</v>
      </c>
      <c r="D1796" s="8" t="str">
        <f>+40.659871°</f>
        <v>#ERROR!</v>
      </c>
      <c r="E1796" s="7" t="s">
        <v>3007</v>
      </c>
    </row>
    <row r="1797">
      <c r="A1797" s="3" t="s">
        <v>2976</v>
      </c>
      <c r="B1797" s="4" t="s">
        <v>1035</v>
      </c>
      <c r="C1797" s="5">
        <v>108692.0</v>
      </c>
      <c r="D1797" s="8" t="str">
        <f>+40.853524°</f>
        <v>#ERROR!</v>
      </c>
      <c r="E1797" s="7" t="s">
        <v>3008</v>
      </c>
    </row>
    <row r="1798">
      <c r="A1798" s="3" t="s">
        <v>3009</v>
      </c>
      <c r="B1798" s="4" t="s">
        <v>3010</v>
      </c>
      <c r="C1798" s="5">
        <v>662564.0</v>
      </c>
      <c r="D1798" s="8" t="str">
        <f>+35.054002°</f>
        <v>#ERROR!</v>
      </c>
      <c r="E1798" s="7" t="s">
        <v>3011</v>
      </c>
    </row>
    <row r="1799">
      <c r="A1799" s="3" t="s">
        <v>3009</v>
      </c>
      <c r="B1799" s="4" t="s">
        <v>3012</v>
      </c>
      <c r="C1799" s="5">
        <v>3725.0</v>
      </c>
      <c r="D1799" s="8" t="str">
        <f>+33.901814°</f>
        <v>#ERROR!</v>
      </c>
      <c r="E1799" s="7" t="s">
        <v>3013</v>
      </c>
    </row>
    <row r="1800">
      <c r="A1800" s="3" t="s">
        <v>3009</v>
      </c>
      <c r="B1800" s="4" t="s">
        <v>3014</v>
      </c>
      <c r="C1800" s="5">
        <v>65645.0</v>
      </c>
      <c r="D1800" s="8" t="str">
        <f>+33.361605°</f>
        <v>#ERROR!</v>
      </c>
      <c r="E1800" s="7" t="s">
        <v>3015</v>
      </c>
    </row>
    <row r="1801">
      <c r="A1801" s="3" t="s">
        <v>3009</v>
      </c>
      <c r="B1801" s="4" t="s">
        <v>3016</v>
      </c>
      <c r="C1801" s="5">
        <v>27213.0</v>
      </c>
      <c r="D1801" s="8" t="str">
        <f>+34.932050°</f>
        <v>#ERROR!</v>
      </c>
      <c r="E1801" s="7" t="s">
        <v>3017</v>
      </c>
    </row>
    <row r="1802">
      <c r="A1802" s="3" t="s">
        <v>3009</v>
      </c>
      <c r="B1802" s="4" t="s">
        <v>2821</v>
      </c>
      <c r="C1802" s="5">
        <v>13750.0</v>
      </c>
      <c r="D1802" s="8" t="str">
        <f>+36.612963°</f>
        <v>#ERROR!</v>
      </c>
      <c r="E1802" s="7" t="s">
        <v>3018</v>
      </c>
    </row>
    <row r="1803">
      <c r="A1803" s="3" t="s">
        <v>3009</v>
      </c>
      <c r="B1803" s="4" t="s">
        <v>3019</v>
      </c>
      <c r="C1803" s="5">
        <v>48376.0</v>
      </c>
      <c r="D1803" s="8" t="str">
        <f>+34.572984°</f>
        <v>#ERROR!</v>
      </c>
      <c r="E1803" s="7" t="s">
        <v>3020</v>
      </c>
    </row>
    <row r="1804">
      <c r="A1804" s="3" t="s">
        <v>3009</v>
      </c>
      <c r="B1804" s="4" t="s">
        <v>3021</v>
      </c>
      <c r="C1804" s="5">
        <v>2022.0</v>
      </c>
      <c r="D1804" s="8" t="str">
        <f>+34.351429°</f>
        <v>#ERROR!</v>
      </c>
      <c r="E1804" s="7" t="s">
        <v>3022</v>
      </c>
    </row>
    <row r="1805">
      <c r="A1805" s="3" t="s">
        <v>3009</v>
      </c>
      <c r="B1805" s="4" t="s">
        <v>3023</v>
      </c>
      <c r="C1805" s="5">
        <v>209233.0</v>
      </c>
      <c r="D1805" s="8" t="str">
        <f>+32.350912°</f>
        <v>#ERROR!</v>
      </c>
      <c r="E1805" s="7" t="s">
        <v>3024</v>
      </c>
    </row>
    <row r="1806">
      <c r="A1806" s="3" t="s">
        <v>3009</v>
      </c>
      <c r="B1806" s="4" t="s">
        <v>3025</v>
      </c>
      <c r="C1806" s="5">
        <v>53829.0</v>
      </c>
      <c r="D1806" s="8" t="str">
        <f>+32.457858°</f>
        <v>#ERROR!</v>
      </c>
      <c r="E1806" s="7" t="s">
        <v>3026</v>
      </c>
    </row>
    <row r="1807">
      <c r="A1807" s="3" t="s">
        <v>3009</v>
      </c>
      <c r="B1807" s="4" t="s">
        <v>321</v>
      </c>
      <c r="C1807" s="5">
        <v>29514.0</v>
      </c>
      <c r="D1807" s="8" t="str">
        <f>+32.732087°</f>
        <v>#ERROR!</v>
      </c>
      <c r="E1807" s="7" t="s">
        <v>3027</v>
      </c>
    </row>
    <row r="1808">
      <c r="A1808" s="3" t="s">
        <v>3009</v>
      </c>
      <c r="B1808" s="4" t="s">
        <v>3028</v>
      </c>
      <c r="C1808" s="5">
        <v>4687.0</v>
      </c>
      <c r="D1808" s="8" t="str">
        <f>+34.869782°</f>
        <v>#ERROR!</v>
      </c>
      <c r="E1808" s="7" t="s">
        <v>3029</v>
      </c>
    </row>
    <row r="1809">
      <c r="A1809" s="3" t="s">
        <v>3009</v>
      </c>
      <c r="B1809" s="4" t="s">
        <v>3030</v>
      </c>
      <c r="C1809" s="7">
        <v>695.0</v>
      </c>
      <c r="D1809" s="8" t="str">
        <f>+35.863152°</f>
        <v>#ERROR!</v>
      </c>
      <c r="E1809" s="7" t="s">
        <v>3031</v>
      </c>
    </row>
    <row r="1810">
      <c r="A1810" s="3" t="s">
        <v>3009</v>
      </c>
      <c r="B1810" s="4" t="s">
        <v>3032</v>
      </c>
      <c r="C1810" s="5">
        <v>4894.0</v>
      </c>
      <c r="D1810" s="8" t="str">
        <f>+31.899658°</f>
        <v>#ERROR!</v>
      </c>
      <c r="E1810" s="7" t="s">
        <v>3033</v>
      </c>
    </row>
    <row r="1811">
      <c r="A1811" s="3" t="s">
        <v>3009</v>
      </c>
      <c r="B1811" s="4" t="s">
        <v>3034</v>
      </c>
      <c r="C1811" s="5">
        <v>64727.0</v>
      </c>
      <c r="D1811" s="8" t="str">
        <f>+32.795687°</f>
        <v>#ERROR!</v>
      </c>
      <c r="E1811" s="7" t="s">
        <v>3035</v>
      </c>
    </row>
    <row r="1812">
      <c r="A1812" s="3" t="s">
        <v>3009</v>
      </c>
      <c r="B1812" s="4" t="s">
        <v>342</v>
      </c>
      <c r="C1812" s="5">
        <v>20497.0</v>
      </c>
      <c r="D1812" s="8" t="str">
        <f>+33.740941°</f>
        <v>#ERROR!</v>
      </c>
      <c r="E1812" s="7" t="s">
        <v>3036</v>
      </c>
    </row>
    <row r="1813">
      <c r="A1813" s="3" t="s">
        <v>3009</v>
      </c>
      <c r="B1813" s="4" t="s">
        <v>3037</v>
      </c>
      <c r="C1813" s="5">
        <v>17950.0</v>
      </c>
      <c r="D1813" s="8" t="str">
        <f>+35.870047°</f>
        <v>#ERROR!</v>
      </c>
      <c r="E1813" s="7" t="s">
        <v>3038</v>
      </c>
    </row>
    <row r="1814">
      <c r="A1814" s="3" t="s">
        <v>3009</v>
      </c>
      <c r="B1814" s="4" t="s">
        <v>3039</v>
      </c>
      <c r="C1814" s="5">
        <v>25095.0</v>
      </c>
      <c r="D1814" s="8" t="str">
        <f>+32.184482°</f>
        <v>#ERROR!</v>
      </c>
      <c r="E1814" s="7" t="s">
        <v>3040</v>
      </c>
    </row>
    <row r="1815">
      <c r="A1815" s="3" t="s">
        <v>3009</v>
      </c>
      <c r="B1815" s="4" t="s">
        <v>3041</v>
      </c>
      <c r="C1815" s="5">
        <v>71492.0</v>
      </c>
      <c r="D1815" s="8" t="str">
        <f>+35.573732°</f>
        <v>#ERROR!</v>
      </c>
      <c r="E1815" s="7" t="s">
        <v>3042</v>
      </c>
    </row>
    <row r="1816">
      <c r="A1816" s="3" t="s">
        <v>3009</v>
      </c>
      <c r="B1816" s="4" t="s">
        <v>3043</v>
      </c>
      <c r="C1816" s="5">
        <v>4881.0</v>
      </c>
      <c r="D1816" s="8" t="str">
        <f>+35.982841°</f>
        <v>#ERROR!</v>
      </c>
      <c r="E1816" s="7" t="s">
        <v>3044</v>
      </c>
    </row>
    <row r="1817">
      <c r="A1817" s="3" t="s">
        <v>3009</v>
      </c>
      <c r="B1817" s="4" t="s">
        <v>606</v>
      </c>
      <c r="C1817" s="5">
        <v>63797.0</v>
      </c>
      <c r="D1817" s="8" t="str">
        <f>+32.588776°</f>
        <v>#ERROR!</v>
      </c>
      <c r="E1817" s="7" t="s">
        <v>3045</v>
      </c>
    </row>
    <row r="1818">
      <c r="A1818" s="3" t="s">
        <v>3009</v>
      </c>
      <c r="B1818" s="4" t="s">
        <v>3046</v>
      </c>
      <c r="C1818" s="5">
        <v>9041.0</v>
      </c>
      <c r="D1818" s="8" t="str">
        <f>+35.107018°</f>
        <v>#ERROR!</v>
      </c>
      <c r="E1818" s="7" t="s">
        <v>3047</v>
      </c>
    </row>
    <row r="1819">
      <c r="A1819" s="3" t="s">
        <v>3009</v>
      </c>
      <c r="B1819" s="4" t="s">
        <v>3048</v>
      </c>
      <c r="C1819" s="5">
        <v>40246.0</v>
      </c>
      <c r="D1819" s="8" t="str">
        <f>+36.509669°</f>
        <v>#ERROR!</v>
      </c>
      <c r="E1819" s="7" t="s">
        <v>3049</v>
      </c>
    </row>
    <row r="1820">
      <c r="A1820" s="3" t="s">
        <v>3009</v>
      </c>
      <c r="B1820" s="4" t="s">
        <v>2770</v>
      </c>
      <c r="C1820" s="5">
        <v>19846.0</v>
      </c>
      <c r="D1820" s="8" t="str">
        <f>+34.021457°</f>
        <v>#ERROR!</v>
      </c>
      <c r="E1820" s="7" t="s">
        <v>3050</v>
      </c>
    </row>
    <row r="1821">
      <c r="A1821" s="3" t="s">
        <v>3009</v>
      </c>
      <c r="B1821" s="4" t="s">
        <v>3051</v>
      </c>
      <c r="C1821" s="5">
        <v>131561.0</v>
      </c>
      <c r="D1821" s="8" t="str">
        <f>+35.685073°</f>
        <v>#ERROR!</v>
      </c>
      <c r="E1821" s="7" t="s">
        <v>3052</v>
      </c>
    </row>
    <row r="1822">
      <c r="A1822" s="3" t="s">
        <v>3009</v>
      </c>
      <c r="B1822" s="4" t="s">
        <v>627</v>
      </c>
      <c r="C1822" s="5">
        <v>130044.0</v>
      </c>
      <c r="D1822" s="8" t="str">
        <f>+36.511625°</f>
        <v>#ERROR!</v>
      </c>
      <c r="E1822" s="7" t="s">
        <v>3053</v>
      </c>
    </row>
    <row r="1823">
      <c r="A1823" s="3" t="s">
        <v>3009</v>
      </c>
      <c r="B1823" s="4" t="s">
        <v>629</v>
      </c>
      <c r="C1823" s="5">
        <v>29393.0</v>
      </c>
      <c r="D1823" s="8" t="str">
        <f>+35.476876°</f>
        <v>#ERROR!</v>
      </c>
      <c r="E1823" s="7" t="s">
        <v>3054</v>
      </c>
    </row>
    <row r="1824">
      <c r="A1824" s="3" t="s">
        <v>3009</v>
      </c>
      <c r="B1824" s="4" t="s">
        <v>3055</v>
      </c>
      <c r="C1824" s="5">
        <v>144170.0</v>
      </c>
      <c r="D1824" s="8" t="str">
        <f>+35.513722°</f>
        <v>#ERROR!</v>
      </c>
      <c r="E1824" s="7" t="s">
        <v>3056</v>
      </c>
    </row>
    <row r="1825">
      <c r="A1825" s="3" t="s">
        <v>3009</v>
      </c>
      <c r="B1825" s="4" t="s">
        <v>495</v>
      </c>
      <c r="C1825" s="5">
        <v>11988.0</v>
      </c>
      <c r="D1825" s="8" t="str">
        <f>+33.119479°</f>
        <v>#ERROR!</v>
      </c>
      <c r="E1825" s="7" t="s">
        <v>3057</v>
      </c>
    </row>
    <row r="1826">
      <c r="A1826" s="3" t="s">
        <v>3009</v>
      </c>
      <c r="B1826" s="4" t="s">
        <v>3058</v>
      </c>
      <c r="C1826" s="5">
        <v>17866.0</v>
      </c>
      <c r="D1826" s="8" t="str">
        <f>+33.991614°</f>
        <v>#ERROR!</v>
      </c>
      <c r="E1826" s="7" t="s">
        <v>3059</v>
      </c>
    </row>
    <row r="1827">
      <c r="A1827" s="3" t="s">
        <v>3009</v>
      </c>
      <c r="B1827" s="4" t="s">
        <v>3060</v>
      </c>
      <c r="C1827" s="5">
        <v>32937.0</v>
      </c>
      <c r="D1827" s="8" t="str">
        <f>+36.576529°</f>
        <v>#ERROR!</v>
      </c>
      <c r="E1827" s="7" t="s">
        <v>3061</v>
      </c>
    </row>
    <row r="1828">
      <c r="A1828" s="3" t="s">
        <v>3009</v>
      </c>
      <c r="B1828" s="4" t="s">
        <v>3062</v>
      </c>
      <c r="C1828" s="5">
        <v>16383.0</v>
      </c>
      <c r="D1828" s="8" t="str">
        <f>+34.634644°</f>
        <v>#ERROR!</v>
      </c>
      <c r="E1828" s="7" t="s">
        <v>3063</v>
      </c>
    </row>
    <row r="1829">
      <c r="A1829" s="3" t="s">
        <v>3009</v>
      </c>
      <c r="B1829" s="4" t="s">
        <v>395</v>
      </c>
      <c r="C1829" s="5">
        <v>4549.0</v>
      </c>
      <c r="D1829" s="8" t="str">
        <f>+36.488085°</f>
        <v>#ERROR!</v>
      </c>
      <c r="E1829" s="7" t="s">
        <v>3064</v>
      </c>
    </row>
    <row r="1830">
      <c r="A1830" s="3" t="s">
        <v>3009</v>
      </c>
      <c r="B1830" s="4" t="s">
        <v>3065</v>
      </c>
      <c r="C1830" s="5">
        <v>76569.0</v>
      </c>
      <c r="D1830" s="8" t="str">
        <f>+34.716840°</f>
        <v>#ERROR!</v>
      </c>
      <c r="E1830" s="7" t="s">
        <v>3066</v>
      </c>
    </row>
    <row r="1831">
      <c r="A1831" s="3" t="s">
        <v>3067</v>
      </c>
      <c r="B1831" s="4" t="s">
        <v>3068</v>
      </c>
      <c r="C1831" s="5">
        <v>304204.0</v>
      </c>
      <c r="D1831" s="8" t="str">
        <f>+42.588271°</f>
        <v>#ERROR!</v>
      </c>
      <c r="E1831" s="7" t="s">
        <v>3069</v>
      </c>
    </row>
    <row r="1832">
      <c r="A1832" s="3" t="s">
        <v>3067</v>
      </c>
      <c r="B1832" s="4" t="s">
        <v>2068</v>
      </c>
      <c r="C1832" s="5">
        <v>48946.0</v>
      </c>
      <c r="D1832" s="8" t="str">
        <f>+42.247894°</f>
        <v>#ERROR!</v>
      </c>
      <c r="E1832" s="7" t="s">
        <v>3070</v>
      </c>
    </row>
    <row r="1833">
      <c r="A1833" s="3" t="s">
        <v>3067</v>
      </c>
      <c r="B1833" s="4" t="s">
        <v>3071</v>
      </c>
      <c r="C1833" s="5">
        <v>1385108.0</v>
      </c>
      <c r="D1833" s="8" t="str">
        <f>+40.848711°</f>
        <v>#ERROR!</v>
      </c>
      <c r="E1833" s="7" t="s">
        <v>3072</v>
      </c>
    </row>
    <row r="1834">
      <c r="A1834" s="3" t="s">
        <v>3067</v>
      </c>
      <c r="B1834" s="4" t="s">
        <v>3073</v>
      </c>
      <c r="C1834" s="5">
        <v>200600.0</v>
      </c>
      <c r="D1834" s="8" t="str">
        <f>+42.161977°</f>
        <v>#ERROR!</v>
      </c>
      <c r="E1834" s="7" t="s">
        <v>3074</v>
      </c>
    </row>
    <row r="1835">
      <c r="A1835" s="3" t="s">
        <v>3067</v>
      </c>
      <c r="B1835" s="4" t="s">
        <v>3075</v>
      </c>
      <c r="C1835" s="5">
        <v>80317.0</v>
      </c>
      <c r="D1835" s="8" t="str">
        <f>+42.244853°</f>
        <v>#ERROR!</v>
      </c>
      <c r="E1835" s="7" t="s">
        <v>3076</v>
      </c>
    </row>
    <row r="1836">
      <c r="A1836" s="3" t="s">
        <v>3067</v>
      </c>
      <c r="B1836" s="4" t="s">
        <v>3077</v>
      </c>
      <c r="C1836" s="5">
        <v>80026.0</v>
      </c>
      <c r="D1836" s="8" t="str">
        <f>+43.008546°</f>
        <v>#ERROR!</v>
      </c>
      <c r="E1836" s="7" t="s">
        <v>3078</v>
      </c>
    </row>
    <row r="1837">
      <c r="A1837" s="3" t="s">
        <v>3067</v>
      </c>
      <c r="B1837" s="4" t="s">
        <v>1595</v>
      </c>
      <c r="C1837" s="5">
        <v>134905.0</v>
      </c>
      <c r="D1837" s="8" t="str">
        <f>+42.304216°</f>
        <v>#ERROR!</v>
      </c>
      <c r="E1837" s="7" t="s">
        <v>3079</v>
      </c>
    </row>
    <row r="1838">
      <c r="A1838" s="3" t="s">
        <v>3067</v>
      </c>
      <c r="B1838" s="4" t="s">
        <v>3080</v>
      </c>
      <c r="C1838" s="5">
        <v>88830.0</v>
      </c>
      <c r="D1838" s="8" t="str">
        <f>+42.155281°</f>
        <v>#ERROR!</v>
      </c>
      <c r="E1838" s="7" t="s">
        <v>3081</v>
      </c>
    </row>
    <row r="1839">
      <c r="A1839" s="3" t="s">
        <v>3067</v>
      </c>
      <c r="B1839" s="4" t="s">
        <v>3082</v>
      </c>
      <c r="C1839" s="5">
        <v>50477.0</v>
      </c>
      <c r="D1839" s="8" t="str">
        <f>+42.489732°</f>
        <v>#ERROR!</v>
      </c>
      <c r="E1839" s="7" t="s">
        <v>3083</v>
      </c>
    </row>
    <row r="1840">
      <c r="A1840" s="3" t="s">
        <v>3067</v>
      </c>
      <c r="B1840" s="4" t="s">
        <v>1164</v>
      </c>
      <c r="C1840" s="5">
        <v>82128.0</v>
      </c>
      <c r="D1840" s="8" t="str">
        <f>+44.752710°</f>
        <v>#ERROR!</v>
      </c>
      <c r="E1840" s="7" t="s">
        <v>3084</v>
      </c>
    </row>
    <row r="1841">
      <c r="A1841" s="3" t="s">
        <v>3067</v>
      </c>
      <c r="B1841" s="4" t="s">
        <v>297</v>
      </c>
      <c r="C1841" s="5">
        <v>63096.0</v>
      </c>
      <c r="D1841" s="8" t="str">
        <f>+42.247729°</f>
        <v>#ERROR!</v>
      </c>
      <c r="E1841" s="7" t="s">
        <v>3085</v>
      </c>
    </row>
    <row r="1842">
      <c r="A1842" s="3" t="s">
        <v>3067</v>
      </c>
      <c r="B1842" s="4" t="s">
        <v>3086</v>
      </c>
      <c r="C1842" s="5">
        <v>49336.0</v>
      </c>
      <c r="D1842" s="8" t="str">
        <f>+42.593824°</f>
        <v>#ERROR!</v>
      </c>
      <c r="E1842" s="7" t="s">
        <v>3087</v>
      </c>
    </row>
    <row r="1843">
      <c r="A1843" s="3" t="s">
        <v>3067</v>
      </c>
      <c r="B1843" s="4" t="s">
        <v>1323</v>
      </c>
      <c r="C1843" s="5">
        <v>47980.0</v>
      </c>
      <c r="D1843" s="8" t="str">
        <f>+42.193987°</f>
        <v>#ERROR!</v>
      </c>
      <c r="E1843" s="7" t="s">
        <v>3088</v>
      </c>
    </row>
    <row r="1844">
      <c r="A1844" s="3" t="s">
        <v>3067</v>
      </c>
      <c r="B1844" s="4" t="s">
        <v>3089</v>
      </c>
      <c r="C1844" s="5">
        <v>297488.0</v>
      </c>
      <c r="D1844" s="8" t="str">
        <f>+41.755009°</f>
        <v>#ERROR!</v>
      </c>
      <c r="E1844" s="7" t="s">
        <v>3090</v>
      </c>
    </row>
    <row r="1845">
      <c r="A1845" s="3" t="s">
        <v>3067</v>
      </c>
      <c r="B1845" s="4" t="s">
        <v>3091</v>
      </c>
      <c r="C1845" s="5">
        <v>919040.0</v>
      </c>
      <c r="D1845" s="8" t="str">
        <f>+42.752759°</f>
        <v>#ERROR!</v>
      </c>
      <c r="E1845" s="7" t="s">
        <v>3092</v>
      </c>
    </row>
    <row r="1846">
      <c r="A1846" s="3" t="s">
        <v>3067</v>
      </c>
      <c r="B1846" s="4" t="s">
        <v>2118</v>
      </c>
      <c r="C1846" s="5">
        <v>39370.0</v>
      </c>
      <c r="D1846" s="8" t="str">
        <f>+44.108971°</f>
        <v>#ERROR!</v>
      </c>
      <c r="E1846" s="7" t="s">
        <v>3093</v>
      </c>
    </row>
    <row r="1847">
      <c r="A1847" s="3" t="s">
        <v>3067</v>
      </c>
      <c r="B1847" s="4" t="s">
        <v>90</v>
      </c>
      <c r="C1847" s="5">
        <v>51599.0</v>
      </c>
      <c r="D1847" s="8" t="str">
        <f>+44.594374°</f>
        <v>#ERROR!</v>
      </c>
      <c r="E1847" s="7" t="s">
        <v>3094</v>
      </c>
    </row>
    <row r="1848">
      <c r="A1848" s="3" t="s">
        <v>3067</v>
      </c>
      <c r="B1848" s="4" t="s">
        <v>317</v>
      </c>
      <c r="C1848" s="5">
        <v>55531.0</v>
      </c>
      <c r="D1848" s="8" t="str">
        <f>+43.115609°</f>
        <v>#ERROR!</v>
      </c>
      <c r="E1848" s="7" t="s">
        <v>3095</v>
      </c>
    </row>
    <row r="1849">
      <c r="A1849" s="3" t="s">
        <v>3067</v>
      </c>
      <c r="B1849" s="4" t="s">
        <v>2175</v>
      </c>
      <c r="C1849" s="5">
        <v>60079.0</v>
      </c>
      <c r="D1849" s="8" t="str">
        <f>+43.000910°</f>
        <v>#ERROR!</v>
      </c>
      <c r="E1849" s="7" t="s">
        <v>3096</v>
      </c>
    </row>
    <row r="1850">
      <c r="A1850" s="3" t="s">
        <v>3067</v>
      </c>
      <c r="B1850" s="4" t="s">
        <v>96</v>
      </c>
      <c r="C1850" s="5">
        <v>49221.0</v>
      </c>
      <c r="D1850" s="8" t="str">
        <f>+42.286951°</f>
        <v>#ERROR!</v>
      </c>
      <c r="E1850" s="7" t="s">
        <v>3097</v>
      </c>
    </row>
    <row r="1851">
      <c r="A1851" s="3" t="s">
        <v>3067</v>
      </c>
      <c r="B1851" s="4" t="s">
        <v>708</v>
      </c>
      <c r="C1851" s="5">
        <v>4836.0</v>
      </c>
      <c r="D1851" s="8" t="str">
        <f>+43.657879°</f>
        <v>#ERROR!</v>
      </c>
      <c r="E1851" s="7" t="s">
        <v>3098</v>
      </c>
    </row>
    <row r="1852">
      <c r="A1852" s="3" t="s">
        <v>3067</v>
      </c>
      <c r="B1852" s="4" t="s">
        <v>3099</v>
      </c>
      <c r="C1852" s="5">
        <v>64519.0</v>
      </c>
      <c r="D1852" s="8" t="str">
        <f>+43.461635°</f>
        <v>#ERROR!</v>
      </c>
      <c r="E1852" s="7" t="s">
        <v>3100</v>
      </c>
    </row>
    <row r="1853">
      <c r="A1853" s="3" t="s">
        <v>3067</v>
      </c>
      <c r="B1853" s="4" t="s">
        <v>111</v>
      </c>
      <c r="C1853" s="5">
        <v>116229.0</v>
      </c>
      <c r="D1853" s="8" t="str">
        <f>+43.995371°</f>
        <v>#ERROR!</v>
      </c>
      <c r="E1853" s="7" t="s">
        <v>3101</v>
      </c>
    </row>
    <row r="1854">
      <c r="A1854" s="3" t="s">
        <v>3067</v>
      </c>
      <c r="B1854" s="4" t="s">
        <v>3102</v>
      </c>
      <c r="C1854" s="5">
        <v>2504700.0</v>
      </c>
      <c r="D1854" s="8" t="str">
        <f>+40.635133°</f>
        <v>#ERROR!</v>
      </c>
      <c r="E1854" s="7" t="s">
        <v>3103</v>
      </c>
    </row>
    <row r="1855">
      <c r="A1855" s="3" t="s">
        <v>3067</v>
      </c>
      <c r="B1855" s="4" t="s">
        <v>1118</v>
      </c>
      <c r="C1855" s="5">
        <v>27087.0</v>
      </c>
      <c r="D1855" s="8" t="str">
        <f>+43.786397°</f>
        <v>#ERROR!</v>
      </c>
      <c r="E1855" s="7" t="s">
        <v>3104</v>
      </c>
    </row>
    <row r="1856">
      <c r="A1856" s="3" t="s">
        <v>3067</v>
      </c>
      <c r="B1856" s="4" t="s">
        <v>1223</v>
      </c>
      <c r="C1856" s="5">
        <v>65393.0</v>
      </c>
      <c r="D1856" s="8" t="str">
        <f>+42.727485°</f>
        <v>#ERROR!</v>
      </c>
      <c r="E1856" s="7" t="s">
        <v>3105</v>
      </c>
    </row>
    <row r="1857">
      <c r="A1857" s="3" t="s">
        <v>3067</v>
      </c>
      <c r="B1857" s="4" t="s">
        <v>135</v>
      </c>
      <c r="C1857" s="5">
        <v>73442.0</v>
      </c>
      <c r="D1857" s="8" t="str">
        <f>+42.910026°</f>
        <v>#ERROR!</v>
      </c>
      <c r="E1857" s="7" t="s">
        <v>3106</v>
      </c>
    </row>
    <row r="1858">
      <c r="A1858" s="3" t="s">
        <v>3067</v>
      </c>
      <c r="B1858" s="4" t="s">
        <v>147</v>
      </c>
      <c r="C1858" s="5">
        <v>744344.0</v>
      </c>
      <c r="D1858" s="8" t="str">
        <f>+43.464475°</f>
        <v>#ERROR!</v>
      </c>
      <c r="E1858" s="7" t="s">
        <v>3107</v>
      </c>
    </row>
    <row r="1859">
      <c r="A1859" s="3" t="s">
        <v>3067</v>
      </c>
      <c r="B1859" s="4" t="s">
        <v>149</v>
      </c>
      <c r="C1859" s="5">
        <v>50219.0</v>
      </c>
      <c r="D1859" s="8" t="str">
        <f>+42.900891°</f>
        <v>#ERROR!</v>
      </c>
      <c r="E1859" s="7" t="s">
        <v>3108</v>
      </c>
    </row>
    <row r="1860">
      <c r="A1860" s="3" t="s">
        <v>3067</v>
      </c>
      <c r="B1860" s="4" t="s">
        <v>744</v>
      </c>
      <c r="C1860" s="5">
        <v>1339532.0</v>
      </c>
      <c r="D1860" s="8" t="str">
        <f>+40.729687°</f>
        <v>#ERROR!</v>
      </c>
      <c r="E1860" s="7" t="s">
        <v>3109</v>
      </c>
    </row>
    <row r="1861">
      <c r="A1861" s="3" t="s">
        <v>3067</v>
      </c>
      <c r="B1861" s="4" t="s">
        <v>3110</v>
      </c>
      <c r="C1861" s="5">
        <v>1585873.0</v>
      </c>
      <c r="D1861" s="8" t="str">
        <f>+40.776557°</f>
        <v>#ERROR!</v>
      </c>
      <c r="E1861" s="7" t="s">
        <v>3111</v>
      </c>
    </row>
    <row r="1862">
      <c r="A1862" s="3" t="s">
        <v>3067</v>
      </c>
      <c r="B1862" s="4" t="s">
        <v>3112</v>
      </c>
      <c r="C1862" s="5">
        <v>216469.0</v>
      </c>
      <c r="D1862" s="8" t="str">
        <f>+43.456731°</f>
        <v>#ERROR!</v>
      </c>
      <c r="E1862" s="7" t="s">
        <v>3113</v>
      </c>
    </row>
    <row r="1863">
      <c r="A1863" s="3" t="s">
        <v>3067</v>
      </c>
      <c r="B1863" s="4" t="s">
        <v>1126</v>
      </c>
      <c r="C1863" s="5">
        <v>234878.0</v>
      </c>
      <c r="D1863" s="8" t="str">
        <f>+43.242727°</f>
        <v>#ERROR!</v>
      </c>
      <c r="E1863" s="7" t="s">
        <v>3114</v>
      </c>
    </row>
    <row r="1864">
      <c r="A1864" s="3" t="s">
        <v>3067</v>
      </c>
      <c r="B1864" s="4" t="s">
        <v>3115</v>
      </c>
      <c r="C1864" s="5">
        <v>467026.0</v>
      </c>
      <c r="D1864" s="8" t="str">
        <f>+43.006530°</f>
        <v>#ERROR!</v>
      </c>
      <c r="E1864" s="7" t="s">
        <v>3116</v>
      </c>
    </row>
    <row r="1865">
      <c r="A1865" s="3" t="s">
        <v>3067</v>
      </c>
      <c r="B1865" s="4" t="s">
        <v>3117</v>
      </c>
      <c r="C1865" s="5">
        <v>107931.0</v>
      </c>
      <c r="D1865" s="8" t="str">
        <f>+42.856695°</f>
        <v>#ERROR!</v>
      </c>
      <c r="E1865" s="7" t="s">
        <v>3118</v>
      </c>
    </row>
    <row r="1866">
      <c r="A1866" s="3" t="s">
        <v>3067</v>
      </c>
      <c r="B1866" s="4" t="s">
        <v>464</v>
      </c>
      <c r="C1866" s="5">
        <v>372813.0</v>
      </c>
      <c r="D1866" s="8" t="str">
        <f>+41.402410°</f>
        <v>#ERROR!</v>
      </c>
      <c r="E1866" s="7" t="s">
        <v>3119</v>
      </c>
    </row>
    <row r="1867">
      <c r="A1867" s="3" t="s">
        <v>3067</v>
      </c>
      <c r="B1867" s="4" t="s">
        <v>1988</v>
      </c>
      <c r="C1867" s="5">
        <v>42883.0</v>
      </c>
      <c r="D1867" s="8" t="str">
        <f>+43.502287°</f>
        <v>#ERROR!</v>
      </c>
      <c r="E1867" s="7" t="s">
        <v>3120</v>
      </c>
    </row>
    <row r="1868">
      <c r="A1868" s="3" t="s">
        <v>3067</v>
      </c>
      <c r="B1868" s="4" t="s">
        <v>3121</v>
      </c>
      <c r="C1868" s="5">
        <v>122109.0</v>
      </c>
      <c r="D1868" s="8" t="str">
        <f>+43.461443°</f>
        <v>#ERROR!</v>
      </c>
      <c r="E1868" s="7" t="s">
        <v>3122</v>
      </c>
    </row>
    <row r="1869">
      <c r="A1869" s="3" t="s">
        <v>3067</v>
      </c>
      <c r="B1869" s="4" t="s">
        <v>2256</v>
      </c>
      <c r="C1869" s="5">
        <v>62259.0</v>
      </c>
      <c r="D1869" s="8" t="str">
        <f>+42.629776°</f>
        <v>#ERROR!</v>
      </c>
      <c r="E1869" s="7" t="s">
        <v>3123</v>
      </c>
    </row>
    <row r="1870">
      <c r="A1870" s="3" t="s">
        <v>3067</v>
      </c>
      <c r="B1870" s="4" t="s">
        <v>760</v>
      </c>
      <c r="C1870" s="5">
        <v>99710.0</v>
      </c>
      <c r="D1870" s="8" t="str">
        <f>+41.427904°</f>
        <v>#ERROR!</v>
      </c>
      <c r="E1870" s="7" t="s">
        <v>3124</v>
      </c>
    </row>
    <row r="1871">
      <c r="A1871" s="3" t="s">
        <v>3067</v>
      </c>
      <c r="B1871" s="4" t="s">
        <v>3125</v>
      </c>
      <c r="C1871" s="5">
        <v>2230722.0</v>
      </c>
      <c r="D1871" s="8" t="str">
        <f>+40.658557°</f>
        <v>#ERROR!</v>
      </c>
      <c r="E1871" s="7" t="s">
        <v>3126</v>
      </c>
    </row>
    <row r="1872">
      <c r="A1872" s="3" t="s">
        <v>3067</v>
      </c>
      <c r="B1872" s="4" t="s">
        <v>3127</v>
      </c>
      <c r="C1872" s="5">
        <v>159429.0</v>
      </c>
      <c r="D1872" s="8" t="str">
        <f>+42.710421°</f>
        <v>#ERROR!</v>
      </c>
      <c r="E1872" s="7" t="s">
        <v>3128</v>
      </c>
    </row>
    <row r="1873">
      <c r="A1873" s="3" t="s">
        <v>3067</v>
      </c>
      <c r="B1873" s="4" t="s">
        <v>3129</v>
      </c>
      <c r="C1873" s="5">
        <v>468730.0</v>
      </c>
      <c r="D1873" s="8" t="str">
        <f>+40.563855°</f>
        <v>#ERROR!</v>
      </c>
      <c r="E1873" s="7" t="s">
        <v>3130</v>
      </c>
    </row>
    <row r="1874">
      <c r="A1874" s="3" t="s">
        <v>3067</v>
      </c>
      <c r="B1874" s="4" t="s">
        <v>3131</v>
      </c>
      <c r="C1874" s="5">
        <v>311687.0</v>
      </c>
      <c r="D1874" s="8" t="str">
        <f>+41.154785°</f>
        <v>#ERROR!</v>
      </c>
      <c r="E1874" s="7" t="s">
        <v>3132</v>
      </c>
    </row>
    <row r="1875">
      <c r="A1875" s="3" t="s">
        <v>3067</v>
      </c>
      <c r="B1875" s="4" t="s">
        <v>3133</v>
      </c>
      <c r="C1875" s="5">
        <v>111944.0</v>
      </c>
      <c r="D1875" s="8" t="str">
        <f>+44.488113°</f>
        <v>#ERROR!</v>
      </c>
      <c r="E1875" s="7" t="s">
        <v>3134</v>
      </c>
    </row>
    <row r="1876">
      <c r="A1876" s="3" t="s">
        <v>3067</v>
      </c>
      <c r="B1876" s="4" t="s">
        <v>3135</v>
      </c>
      <c r="C1876" s="5">
        <v>219607.0</v>
      </c>
      <c r="D1876" s="8" t="str">
        <f>+43.106135°</f>
        <v>#ERROR!</v>
      </c>
      <c r="E1876" s="7" t="s">
        <v>3136</v>
      </c>
    </row>
    <row r="1877">
      <c r="A1877" s="3" t="s">
        <v>3067</v>
      </c>
      <c r="B1877" s="4" t="s">
        <v>3137</v>
      </c>
      <c r="C1877" s="5">
        <v>154727.0</v>
      </c>
      <c r="D1877" s="8" t="str">
        <f>+42.817542°</f>
        <v>#ERROR!</v>
      </c>
      <c r="E1877" s="7" t="s">
        <v>3138</v>
      </c>
    </row>
    <row r="1878">
      <c r="A1878" s="3" t="s">
        <v>3067</v>
      </c>
      <c r="B1878" s="4" t="s">
        <v>3139</v>
      </c>
      <c r="C1878" s="5">
        <v>32749.0</v>
      </c>
      <c r="D1878" s="8" t="str">
        <f>+42.591294°</f>
        <v>#ERROR!</v>
      </c>
      <c r="E1878" s="7" t="s">
        <v>3140</v>
      </c>
    </row>
    <row r="1879">
      <c r="A1879" s="3" t="s">
        <v>3067</v>
      </c>
      <c r="B1879" s="4" t="s">
        <v>1271</v>
      </c>
      <c r="C1879" s="5">
        <v>18343.0</v>
      </c>
      <c r="D1879" s="8" t="str">
        <f>+42.419776°</f>
        <v>#ERROR!</v>
      </c>
      <c r="E1879" s="7" t="s">
        <v>3141</v>
      </c>
    </row>
    <row r="1880">
      <c r="A1880" s="3" t="s">
        <v>3067</v>
      </c>
      <c r="B1880" s="4" t="s">
        <v>3142</v>
      </c>
      <c r="C1880" s="5">
        <v>35251.0</v>
      </c>
      <c r="D1880" s="8" t="str">
        <f>+42.782294°</f>
        <v>#ERROR!</v>
      </c>
      <c r="E1880" s="7" t="s">
        <v>3143</v>
      </c>
    </row>
    <row r="1881">
      <c r="A1881" s="3" t="s">
        <v>3067</v>
      </c>
      <c r="B1881" s="4" t="s">
        <v>1406</v>
      </c>
      <c r="C1881" s="5">
        <v>98990.0</v>
      </c>
      <c r="D1881" s="8" t="str">
        <f>+42.266725°</f>
        <v>#ERROR!</v>
      </c>
      <c r="E1881" s="7" t="s">
        <v>3144</v>
      </c>
    </row>
    <row r="1882">
      <c r="A1882" s="3" t="s">
        <v>3067</v>
      </c>
      <c r="B1882" s="4" t="s">
        <v>2132</v>
      </c>
      <c r="C1882" s="5">
        <v>1493350.0</v>
      </c>
      <c r="D1882" s="8" t="str">
        <f>+40.943554°</f>
        <v>#ERROR!</v>
      </c>
      <c r="E1882" s="7" t="s">
        <v>3145</v>
      </c>
    </row>
    <row r="1883">
      <c r="A1883" s="3" t="s">
        <v>3067</v>
      </c>
      <c r="B1883" s="4" t="s">
        <v>1408</v>
      </c>
      <c r="C1883" s="5">
        <v>77547.0</v>
      </c>
      <c r="D1883" s="8" t="str">
        <f>+41.720176°</f>
        <v>#ERROR!</v>
      </c>
      <c r="E1883" s="7" t="s">
        <v>3146</v>
      </c>
    </row>
    <row r="1884">
      <c r="A1884" s="3" t="s">
        <v>3067</v>
      </c>
      <c r="B1884" s="4" t="s">
        <v>3147</v>
      </c>
      <c r="C1884" s="5">
        <v>51125.0</v>
      </c>
      <c r="D1884" s="8" t="str">
        <f>+42.178057°</f>
        <v>#ERROR!</v>
      </c>
      <c r="E1884" s="7" t="s">
        <v>3148</v>
      </c>
    </row>
    <row r="1885">
      <c r="A1885" s="3" t="s">
        <v>3067</v>
      </c>
      <c r="B1885" s="4" t="s">
        <v>3149</v>
      </c>
      <c r="C1885" s="5">
        <v>101564.0</v>
      </c>
      <c r="D1885" s="8" t="str">
        <f>+42.453281°</f>
        <v>#ERROR!</v>
      </c>
      <c r="E1885" s="7" t="s">
        <v>3150</v>
      </c>
    </row>
    <row r="1886">
      <c r="A1886" s="3" t="s">
        <v>3067</v>
      </c>
      <c r="B1886" s="4" t="s">
        <v>3151</v>
      </c>
      <c r="C1886" s="5">
        <v>182493.0</v>
      </c>
      <c r="D1886" s="8" t="str">
        <f>+41.947232°</f>
        <v>#ERROR!</v>
      </c>
      <c r="E1886" s="7" t="s">
        <v>3152</v>
      </c>
    </row>
    <row r="1887">
      <c r="A1887" s="3" t="s">
        <v>3067</v>
      </c>
      <c r="B1887" s="4" t="s">
        <v>1035</v>
      </c>
      <c r="C1887" s="5">
        <v>65707.0</v>
      </c>
      <c r="D1887" s="8" t="str">
        <f>+43.555105°</f>
        <v>#ERROR!</v>
      </c>
      <c r="E1887" s="7" t="s">
        <v>3153</v>
      </c>
    </row>
    <row r="1888">
      <c r="A1888" s="3" t="s">
        <v>3067</v>
      </c>
      <c r="B1888" s="4" t="s">
        <v>177</v>
      </c>
      <c r="C1888" s="5">
        <v>63216.0</v>
      </c>
      <c r="D1888" s="8" t="str">
        <f>+43.312377°</f>
        <v>#ERROR!</v>
      </c>
      <c r="E1888" s="7" t="s">
        <v>3154</v>
      </c>
    </row>
    <row r="1889">
      <c r="A1889" s="3" t="s">
        <v>3067</v>
      </c>
      <c r="B1889" s="4" t="s">
        <v>1038</v>
      </c>
      <c r="C1889" s="5">
        <v>93772.0</v>
      </c>
      <c r="D1889" s="8" t="str">
        <f>+43.458758°</f>
        <v>#ERROR!</v>
      </c>
      <c r="E1889" s="7" t="s">
        <v>3155</v>
      </c>
    </row>
    <row r="1890">
      <c r="A1890" s="3" t="s">
        <v>3067</v>
      </c>
      <c r="B1890" s="4" t="s">
        <v>3156</v>
      </c>
      <c r="C1890" s="5">
        <v>949113.0</v>
      </c>
      <c r="D1890" s="8" t="str">
        <f>+41.152770°</f>
        <v>#ERROR!</v>
      </c>
      <c r="E1890" s="7" t="s">
        <v>3157</v>
      </c>
    </row>
    <row r="1891">
      <c r="A1891" s="3" t="s">
        <v>3067</v>
      </c>
      <c r="B1891" s="4" t="s">
        <v>3158</v>
      </c>
      <c r="C1891" s="5">
        <v>42155.0</v>
      </c>
      <c r="D1891" s="8" t="str">
        <f>+42.701363°</f>
        <v>#ERROR!</v>
      </c>
      <c r="E1891" s="7" t="s">
        <v>3159</v>
      </c>
    </row>
    <row r="1892">
      <c r="A1892" s="3" t="s">
        <v>3067</v>
      </c>
      <c r="B1892" s="4" t="s">
        <v>3160</v>
      </c>
      <c r="C1892" s="5">
        <v>25348.0</v>
      </c>
      <c r="D1892" s="8" t="str">
        <f>+42.638237°</f>
        <v>#ERROR!</v>
      </c>
      <c r="E1892" s="7" t="s">
        <v>3161</v>
      </c>
    </row>
    <row r="1893">
      <c r="A1893" s="3" t="s">
        <v>3162</v>
      </c>
      <c r="B1893" s="4" t="s">
        <v>3163</v>
      </c>
      <c r="C1893" s="5">
        <v>151131.0</v>
      </c>
      <c r="D1893" s="8" t="str">
        <f>+36.041974°</f>
        <v>#ERROR!</v>
      </c>
      <c r="E1893" s="7" t="s">
        <v>3164</v>
      </c>
    </row>
    <row r="1894">
      <c r="A1894" s="3" t="s">
        <v>3162</v>
      </c>
      <c r="B1894" s="4" t="s">
        <v>1145</v>
      </c>
      <c r="C1894" s="5">
        <v>37198.0</v>
      </c>
      <c r="D1894" s="8" t="str">
        <f>+35.920951°</f>
        <v>#ERROR!</v>
      </c>
      <c r="E1894" s="7" t="s">
        <v>3165</v>
      </c>
    </row>
    <row r="1895">
      <c r="A1895" s="3" t="s">
        <v>3162</v>
      </c>
      <c r="B1895" s="4" t="s">
        <v>3166</v>
      </c>
      <c r="C1895" s="5">
        <v>11155.0</v>
      </c>
      <c r="D1895" s="8" t="str">
        <f>+36.489356°</f>
        <v>#ERROR!</v>
      </c>
      <c r="E1895" s="7" t="s">
        <v>3167</v>
      </c>
    </row>
    <row r="1896">
      <c r="A1896" s="3" t="s">
        <v>3162</v>
      </c>
      <c r="B1896" s="4" t="s">
        <v>3168</v>
      </c>
      <c r="C1896" s="5">
        <v>26948.0</v>
      </c>
      <c r="D1896" s="8" t="str">
        <f>+34.974996°</f>
        <v>#ERROR!</v>
      </c>
      <c r="E1896" s="7" t="s">
        <v>3169</v>
      </c>
    </row>
    <row r="1897">
      <c r="A1897" s="3" t="s">
        <v>3162</v>
      </c>
      <c r="B1897" s="4" t="s">
        <v>3170</v>
      </c>
      <c r="C1897" s="5">
        <v>27281.0</v>
      </c>
      <c r="D1897" s="8" t="str">
        <f>+36.436305°</f>
        <v>#ERROR!</v>
      </c>
      <c r="E1897" s="7" t="s">
        <v>3171</v>
      </c>
    </row>
    <row r="1898">
      <c r="A1898" s="3" t="s">
        <v>3162</v>
      </c>
      <c r="B1898" s="4" t="s">
        <v>3172</v>
      </c>
      <c r="C1898" s="5">
        <v>17797.0</v>
      </c>
      <c r="D1898" s="8" t="str">
        <f>+36.072894°</f>
        <v>#ERROR!</v>
      </c>
      <c r="E1898" s="7" t="s">
        <v>3173</v>
      </c>
    </row>
    <row r="1899">
      <c r="A1899" s="3" t="s">
        <v>3162</v>
      </c>
      <c r="B1899" s="4" t="s">
        <v>3174</v>
      </c>
      <c r="C1899" s="5">
        <v>47759.0</v>
      </c>
      <c r="D1899" s="8" t="str">
        <f>+35.482313°</f>
        <v>#ERROR!</v>
      </c>
      <c r="E1899" s="7" t="s">
        <v>3175</v>
      </c>
    </row>
    <row r="1900">
      <c r="A1900" s="3" t="s">
        <v>3162</v>
      </c>
      <c r="B1900" s="4" t="s">
        <v>3176</v>
      </c>
      <c r="C1900" s="5">
        <v>21282.0</v>
      </c>
      <c r="D1900" s="8" t="str">
        <f>+36.061330°</f>
        <v>#ERROR!</v>
      </c>
      <c r="E1900" s="7" t="s">
        <v>3177</v>
      </c>
    </row>
    <row r="1901">
      <c r="A1901" s="3" t="s">
        <v>3162</v>
      </c>
      <c r="B1901" s="4" t="s">
        <v>3178</v>
      </c>
      <c r="C1901" s="5">
        <v>35190.0</v>
      </c>
      <c r="D1901" s="8" t="str">
        <f>+34.591949°</f>
        <v>#ERROR!</v>
      </c>
      <c r="E1901" s="7" t="s">
        <v>3179</v>
      </c>
    </row>
    <row r="1902">
      <c r="A1902" s="3" t="s">
        <v>3162</v>
      </c>
      <c r="B1902" s="4" t="s">
        <v>3180</v>
      </c>
      <c r="C1902" s="5">
        <v>107431.0</v>
      </c>
      <c r="D1902" s="8" t="str">
        <f>+34.038708°</f>
        <v>#ERROR!</v>
      </c>
      <c r="E1902" s="7" t="s">
        <v>3181</v>
      </c>
    </row>
    <row r="1903">
      <c r="A1903" s="3" t="s">
        <v>3162</v>
      </c>
      <c r="B1903" s="4" t="s">
        <v>3182</v>
      </c>
      <c r="C1903" s="5">
        <v>238318.0</v>
      </c>
      <c r="D1903" s="8" t="str">
        <f>+35.609371°</f>
        <v>#ERROR!</v>
      </c>
      <c r="E1903" s="7" t="s">
        <v>3183</v>
      </c>
    </row>
    <row r="1904">
      <c r="A1904" s="3" t="s">
        <v>3162</v>
      </c>
      <c r="B1904" s="4" t="s">
        <v>815</v>
      </c>
      <c r="C1904" s="5">
        <v>90912.0</v>
      </c>
      <c r="D1904" s="8" t="str">
        <f>+35.746182°</f>
        <v>#ERROR!</v>
      </c>
      <c r="E1904" s="7" t="s">
        <v>3184</v>
      </c>
    </row>
    <row r="1905">
      <c r="A1905" s="3" t="s">
        <v>3162</v>
      </c>
      <c r="B1905" s="4" t="s">
        <v>3185</v>
      </c>
      <c r="C1905" s="5">
        <v>178011.0</v>
      </c>
      <c r="D1905" s="8" t="str">
        <f>+35.387845°</f>
        <v>#ERROR!</v>
      </c>
      <c r="E1905" s="7" t="s">
        <v>3186</v>
      </c>
    </row>
    <row r="1906">
      <c r="A1906" s="3" t="s">
        <v>3162</v>
      </c>
      <c r="B1906" s="4" t="s">
        <v>1779</v>
      </c>
      <c r="C1906" s="5">
        <v>83029.0</v>
      </c>
      <c r="D1906" s="8" t="str">
        <f>+35.957857°</f>
        <v>#ERROR!</v>
      </c>
      <c r="E1906" s="7" t="s">
        <v>3187</v>
      </c>
    </row>
    <row r="1907">
      <c r="A1907" s="3" t="s">
        <v>3162</v>
      </c>
      <c r="B1907" s="4" t="s">
        <v>820</v>
      </c>
      <c r="C1907" s="5">
        <v>9980.0</v>
      </c>
      <c r="D1907" s="8" t="str">
        <f>+36.342344°</f>
        <v>#ERROR!</v>
      </c>
      <c r="E1907" s="7" t="s">
        <v>3188</v>
      </c>
    </row>
    <row r="1908">
      <c r="A1908" s="3" t="s">
        <v>3162</v>
      </c>
      <c r="B1908" s="4" t="s">
        <v>3189</v>
      </c>
      <c r="C1908" s="5">
        <v>66469.0</v>
      </c>
      <c r="D1908" s="8" t="str">
        <f>+34.858313°</f>
        <v>#ERROR!</v>
      </c>
      <c r="E1908" s="7" t="s">
        <v>3190</v>
      </c>
    </row>
    <row r="1909">
      <c r="A1909" s="3" t="s">
        <v>3162</v>
      </c>
      <c r="B1909" s="4" t="s">
        <v>3191</v>
      </c>
      <c r="C1909" s="5">
        <v>23719.0</v>
      </c>
      <c r="D1909" s="8" t="str">
        <f>+36.393097°</f>
        <v>#ERROR!</v>
      </c>
      <c r="E1909" s="7" t="s">
        <v>3192</v>
      </c>
    </row>
    <row r="1910">
      <c r="A1910" s="3" t="s">
        <v>3162</v>
      </c>
      <c r="B1910" s="4" t="s">
        <v>3193</v>
      </c>
      <c r="C1910" s="5">
        <v>154358.0</v>
      </c>
      <c r="D1910" s="8" t="str">
        <f>+35.663182°</f>
        <v>#ERROR!</v>
      </c>
      <c r="E1910" s="7" t="s">
        <v>3194</v>
      </c>
    </row>
    <row r="1911">
      <c r="A1911" s="3" t="s">
        <v>3162</v>
      </c>
      <c r="B1911" s="4" t="s">
        <v>829</v>
      </c>
      <c r="C1911" s="5">
        <v>63505.0</v>
      </c>
      <c r="D1911" s="8" t="str">
        <f>+35.704994°</f>
        <v>#ERROR!</v>
      </c>
      <c r="E1911" s="7" t="s">
        <v>3195</v>
      </c>
    </row>
    <row r="1912">
      <c r="A1912" s="3" t="s">
        <v>3162</v>
      </c>
      <c r="B1912" s="4" t="s">
        <v>835</v>
      </c>
      <c r="C1912" s="5">
        <v>27444.0</v>
      </c>
      <c r="D1912" s="8" t="str">
        <f>+35.136233°</f>
        <v>#ERROR!</v>
      </c>
      <c r="E1912" s="7" t="s">
        <v>3196</v>
      </c>
    </row>
    <row r="1913">
      <c r="A1913" s="3" t="s">
        <v>3162</v>
      </c>
      <c r="B1913" s="4" t="s">
        <v>3197</v>
      </c>
      <c r="C1913" s="5">
        <v>14793.0</v>
      </c>
      <c r="D1913" s="8" t="str">
        <f>+36.127288°</f>
        <v>#ERROR!</v>
      </c>
      <c r="E1913" s="7" t="s">
        <v>3198</v>
      </c>
    </row>
    <row r="1914">
      <c r="A1914" s="3" t="s">
        <v>3162</v>
      </c>
      <c r="B1914" s="4" t="s">
        <v>42</v>
      </c>
      <c r="C1914" s="5">
        <v>10587.0</v>
      </c>
      <c r="D1914" s="8" t="str">
        <f>+35.052997°</f>
        <v>#ERROR!</v>
      </c>
      <c r="E1914" s="7" t="s">
        <v>3199</v>
      </c>
    </row>
    <row r="1915">
      <c r="A1915" s="3" t="s">
        <v>3162</v>
      </c>
      <c r="B1915" s="4" t="s">
        <v>295</v>
      </c>
      <c r="C1915" s="5">
        <v>98078.0</v>
      </c>
      <c r="D1915" s="8" t="str">
        <f>+35.334630°</f>
        <v>#ERROR!</v>
      </c>
      <c r="E1915" s="7" t="s">
        <v>3200</v>
      </c>
    </row>
    <row r="1916">
      <c r="A1916" s="3" t="s">
        <v>3162</v>
      </c>
      <c r="B1916" s="4" t="s">
        <v>3201</v>
      </c>
      <c r="C1916" s="5">
        <v>58098.0</v>
      </c>
      <c r="D1916" s="8" t="str">
        <f>+34.260471°</f>
        <v>#ERROR!</v>
      </c>
      <c r="E1916" s="7" t="s">
        <v>3202</v>
      </c>
    </row>
    <row r="1917">
      <c r="A1917" s="3" t="s">
        <v>3162</v>
      </c>
      <c r="B1917" s="4" t="s">
        <v>3203</v>
      </c>
      <c r="C1917" s="5">
        <v>103505.0</v>
      </c>
      <c r="D1917" s="8" t="str">
        <f>+35.118179°</f>
        <v>#ERROR!</v>
      </c>
      <c r="E1917" s="7" t="s">
        <v>3204</v>
      </c>
    </row>
    <row r="1918">
      <c r="A1918" s="3" t="s">
        <v>3162</v>
      </c>
      <c r="B1918" s="4" t="s">
        <v>1170</v>
      </c>
      <c r="C1918" s="5">
        <v>319431.0</v>
      </c>
      <c r="D1918" s="8" t="str">
        <f>+35.050192°</f>
        <v>#ERROR!</v>
      </c>
      <c r="E1918" s="7" t="s">
        <v>3205</v>
      </c>
    </row>
    <row r="1919">
      <c r="A1919" s="3" t="s">
        <v>3162</v>
      </c>
      <c r="B1919" s="4" t="s">
        <v>3206</v>
      </c>
      <c r="C1919" s="5">
        <v>23547.0</v>
      </c>
      <c r="D1919" s="8" t="str">
        <f>+36.372174°</f>
        <v>#ERROR!</v>
      </c>
      <c r="E1919" s="7" t="s">
        <v>3207</v>
      </c>
    </row>
    <row r="1920">
      <c r="A1920" s="3" t="s">
        <v>3162</v>
      </c>
      <c r="B1920" s="4" t="s">
        <v>3208</v>
      </c>
      <c r="C1920" s="5">
        <v>33920.0</v>
      </c>
      <c r="D1920" s="8" t="str">
        <f>+35.606269°</f>
        <v>#ERROR!</v>
      </c>
      <c r="E1920" s="7" t="s">
        <v>3209</v>
      </c>
    </row>
    <row r="1921">
      <c r="A1921" s="3" t="s">
        <v>3162</v>
      </c>
      <c r="B1921" s="4" t="s">
        <v>3210</v>
      </c>
      <c r="C1921" s="5">
        <v>162878.0</v>
      </c>
      <c r="D1921" s="8" t="str">
        <f>+35.795123°</f>
        <v>#ERROR!</v>
      </c>
      <c r="E1921" s="7" t="s">
        <v>3211</v>
      </c>
    </row>
    <row r="1922">
      <c r="A1922" s="3" t="s">
        <v>3162</v>
      </c>
      <c r="B1922" s="4" t="s">
        <v>3212</v>
      </c>
      <c r="C1922" s="5">
        <v>41240.0</v>
      </c>
      <c r="D1922" s="8" t="str">
        <f>+35.929356°</f>
        <v>#ERROR!</v>
      </c>
      <c r="E1922" s="7" t="s">
        <v>3213</v>
      </c>
    </row>
    <row r="1923">
      <c r="A1923" s="3" t="s">
        <v>3162</v>
      </c>
      <c r="B1923" s="4" t="s">
        <v>3214</v>
      </c>
      <c r="C1923" s="5">
        <v>58505.0</v>
      </c>
      <c r="D1923" s="8" t="str">
        <f>+34.934403°</f>
        <v>#ERROR!</v>
      </c>
      <c r="E1923" s="7" t="s">
        <v>3215</v>
      </c>
    </row>
    <row r="1924">
      <c r="A1924" s="3" t="s">
        <v>3162</v>
      </c>
      <c r="B1924" s="4" t="s">
        <v>3216</v>
      </c>
      <c r="C1924" s="5">
        <v>267587.0</v>
      </c>
      <c r="D1924" s="8" t="str">
        <f>+36.036589°</f>
        <v>#ERROR!</v>
      </c>
      <c r="E1924" s="7" t="s">
        <v>3217</v>
      </c>
    </row>
    <row r="1925">
      <c r="A1925" s="3" t="s">
        <v>3162</v>
      </c>
      <c r="B1925" s="4" t="s">
        <v>3218</v>
      </c>
      <c r="C1925" s="5">
        <v>56552.0</v>
      </c>
      <c r="D1925" s="8" t="str">
        <f>+35.917055°</f>
        <v>#ERROR!</v>
      </c>
      <c r="E1925" s="7" t="s">
        <v>3219</v>
      </c>
    </row>
    <row r="1926">
      <c r="A1926" s="3" t="s">
        <v>3162</v>
      </c>
      <c r="B1926" s="4" t="s">
        <v>886</v>
      </c>
      <c r="C1926" s="5">
        <v>350670.0</v>
      </c>
      <c r="D1926" s="8" t="str">
        <f>+36.131667°</f>
        <v>#ERROR!</v>
      </c>
      <c r="E1926" s="7" t="s">
        <v>3220</v>
      </c>
    </row>
    <row r="1927">
      <c r="A1927" s="3" t="s">
        <v>3162</v>
      </c>
      <c r="B1927" s="4" t="s">
        <v>90</v>
      </c>
      <c r="C1927" s="5">
        <v>60619.0</v>
      </c>
      <c r="D1927" s="8" t="str">
        <f>+36.088241°</f>
        <v>#ERROR!</v>
      </c>
      <c r="E1927" s="7" t="s">
        <v>3221</v>
      </c>
    </row>
    <row r="1928">
      <c r="A1928" s="3" t="s">
        <v>3162</v>
      </c>
      <c r="B1928" s="4" t="s">
        <v>3222</v>
      </c>
      <c r="C1928" s="5">
        <v>206086.0</v>
      </c>
      <c r="D1928" s="8" t="str">
        <f>+35.293344°</f>
        <v>#ERROR!</v>
      </c>
      <c r="E1928" s="7" t="s">
        <v>3223</v>
      </c>
    </row>
    <row r="1929">
      <c r="A1929" s="3" t="s">
        <v>3162</v>
      </c>
      <c r="B1929" s="4" t="s">
        <v>3224</v>
      </c>
      <c r="C1929" s="5">
        <v>12197.0</v>
      </c>
      <c r="D1929" s="8" t="str">
        <f>+36.442135°</f>
        <v>#ERROR!</v>
      </c>
      <c r="E1929" s="7" t="s">
        <v>3225</v>
      </c>
    </row>
    <row r="1930">
      <c r="A1930" s="3" t="s">
        <v>3162</v>
      </c>
      <c r="B1930" s="4" t="s">
        <v>251</v>
      </c>
      <c r="C1930" s="5">
        <v>8861.0</v>
      </c>
      <c r="D1930" s="8" t="str">
        <f>+35.348111°</f>
        <v>#ERROR!</v>
      </c>
      <c r="E1930" s="7" t="s">
        <v>3226</v>
      </c>
    </row>
    <row r="1931">
      <c r="A1931" s="3" t="s">
        <v>3162</v>
      </c>
      <c r="B1931" s="4" t="s">
        <v>3227</v>
      </c>
      <c r="C1931" s="5">
        <v>59916.0</v>
      </c>
      <c r="D1931" s="8" t="str">
        <f>+36.299884°</f>
        <v>#ERROR!</v>
      </c>
      <c r="E1931" s="7" t="s">
        <v>3228</v>
      </c>
    </row>
    <row r="1932">
      <c r="A1932" s="3" t="s">
        <v>3162</v>
      </c>
      <c r="B1932" s="4" t="s">
        <v>96</v>
      </c>
      <c r="C1932" s="5">
        <v>21362.0</v>
      </c>
      <c r="D1932" s="8" t="str">
        <f>+35.481933°</f>
        <v>#ERROR!</v>
      </c>
      <c r="E1932" s="7" t="s">
        <v>3229</v>
      </c>
    </row>
    <row r="1933">
      <c r="A1933" s="3" t="s">
        <v>3162</v>
      </c>
      <c r="B1933" s="4" t="s">
        <v>3230</v>
      </c>
      <c r="C1933" s="5">
        <v>488406.0</v>
      </c>
      <c r="D1933" s="8" t="str">
        <f>+36.079065°</f>
        <v>#ERROR!</v>
      </c>
      <c r="E1933" s="7" t="s">
        <v>3231</v>
      </c>
    </row>
    <row r="1934">
      <c r="A1934" s="3" t="s">
        <v>3162</v>
      </c>
      <c r="B1934" s="4" t="s">
        <v>3232</v>
      </c>
      <c r="C1934" s="5">
        <v>54691.0</v>
      </c>
      <c r="D1934" s="8" t="str">
        <f>+36.251438°</f>
        <v>#ERROR!</v>
      </c>
      <c r="E1934" s="7" t="s">
        <v>3233</v>
      </c>
    </row>
    <row r="1935">
      <c r="A1935" s="3" t="s">
        <v>3162</v>
      </c>
      <c r="B1935" s="4" t="s">
        <v>3234</v>
      </c>
      <c r="C1935" s="5">
        <v>114678.0</v>
      </c>
      <c r="D1935" s="8" t="str">
        <f>+35.368635°</f>
        <v>#ERROR!</v>
      </c>
      <c r="E1935" s="7" t="s">
        <v>3235</v>
      </c>
    </row>
    <row r="1936">
      <c r="A1936" s="3" t="s">
        <v>3162</v>
      </c>
      <c r="B1936" s="4" t="s">
        <v>3236</v>
      </c>
      <c r="C1936" s="5">
        <v>59036.0</v>
      </c>
      <c r="D1936" s="8" t="str">
        <f>+35.557097°</f>
        <v>#ERROR!</v>
      </c>
      <c r="E1936" s="7" t="s">
        <v>3237</v>
      </c>
    </row>
    <row r="1937">
      <c r="A1937" s="3" t="s">
        <v>3162</v>
      </c>
      <c r="B1937" s="4" t="s">
        <v>1197</v>
      </c>
      <c r="C1937" s="5">
        <v>106740.0</v>
      </c>
      <c r="D1937" s="8" t="str">
        <f>+35.336424°</f>
        <v>#ERROR!</v>
      </c>
      <c r="E1937" s="7" t="s">
        <v>3238</v>
      </c>
    </row>
    <row r="1938">
      <c r="A1938" s="3" t="s">
        <v>3162</v>
      </c>
      <c r="B1938" s="4" t="s">
        <v>3239</v>
      </c>
      <c r="C1938" s="5">
        <v>24669.0</v>
      </c>
      <c r="D1938" s="8" t="str">
        <f>+36.363517°</f>
        <v>#ERROR!</v>
      </c>
      <c r="E1938" s="7" t="s">
        <v>3240</v>
      </c>
    </row>
    <row r="1939">
      <c r="A1939" s="3" t="s">
        <v>3162</v>
      </c>
      <c r="B1939" s="4" t="s">
        <v>3241</v>
      </c>
      <c r="C1939" s="5">
        <v>46952.0</v>
      </c>
      <c r="D1939" s="8" t="str">
        <f>+35.017233°</f>
        <v>#ERROR!</v>
      </c>
      <c r="E1939" s="7" t="s">
        <v>3242</v>
      </c>
    </row>
    <row r="1940">
      <c r="A1940" s="3" t="s">
        <v>3162</v>
      </c>
      <c r="B1940" s="4" t="s">
        <v>3243</v>
      </c>
      <c r="C1940" s="5">
        <v>5810.0</v>
      </c>
      <c r="D1940" s="8" t="str">
        <f>+35.408157°</f>
        <v>#ERROR!</v>
      </c>
      <c r="E1940" s="7" t="s">
        <v>3244</v>
      </c>
    </row>
    <row r="1941">
      <c r="A1941" s="3" t="s">
        <v>3162</v>
      </c>
      <c r="B1941" s="4" t="s">
        <v>3245</v>
      </c>
      <c r="C1941" s="5">
        <v>159437.0</v>
      </c>
      <c r="D1941" s="8" t="str">
        <f>+35.806356°</f>
        <v>#ERROR!</v>
      </c>
      <c r="E1941" s="7" t="s">
        <v>3246</v>
      </c>
    </row>
    <row r="1942">
      <c r="A1942" s="3" t="s">
        <v>3162</v>
      </c>
      <c r="B1942" s="4" t="s">
        <v>108</v>
      </c>
      <c r="C1942" s="5">
        <v>40271.0</v>
      </c>
      <c r="D1942" s="8" t="str">
        <f>+35.286463°</f>
        <v>#ERROR!</v>
      </c>
      <c r="E1942" s="7" t="s">
        <v>3247</v>
      </c>
    </row>
    <row r="1943">
      <c r="A1943" s="3" t="s">
        <v>3162</v>
      </c>
      <c r="B1943" s="4" t="s">
        <v>3248</v>
      </c>
      <c r="C1943" s="5">
        <v>168878.0</v>
      </c>
      <c r="D1943" s="8" t="str">
        <f>+35.513405°</f>
        <v>#ERROR!</v>
      </c>
      <c r="E1943" s="7" t="s">
        <v>3249</v>
      </c>
    </row>
    <row r="1944">
      <c r="A1944" s="3" t="s">
        <v>3162</v>
      </c>
      <c r="B1944" s="4" t="s">
        <v>930</v>
      </c>
      <c r="C1944" s="5">
        <v>10153.0</v>
      </c>
      <c r="D1944" s="8" t="str">
        <f>+35.032160°</f>
        <v>#ERROR!</v>
      </c>
      <c r="E1944" s="7" t="s">
        <v>3250</v>
      </c>
    </row>
    <row r="1945">
      <c r="A1945" s="3" t="s">
        <v>3162</v>
      </c>
      <c r="B1945" s="4" t="s">
        <v>123</v>
      </c>
      <c r="C1945" s="5">
        <v>57866.0</v>
      </c>
      <c r="D1945" s="8" t="str">
        <f>+35.476075°</f>
        <v>#ERROR!</v>
      </c>
      <c r="E1945" s="7" t="s">
        <v>3251</v>
      </c>
    </row>
    <row r="1946">
      <c r="A1946" s="3" t="s">
        <v>3162</v>
      </c>
      <c r="B1946" s="4" t="s">
        <v>3252</v>
      </c>
      <c r="C1946" s="5">
        <v>59495.0</v>
      </c>
      <c r="D1946" s="8" t="str">
        <f>+35.238062°</f>
        <v>#ERROR!</v>
      </c>
      <c r="E1946" s="7" t="s">
        <v>3253</v>
      </c>
    </row>
    <row r="1947">
      <c r="A1947" s="3" t="s">
        <v>3162</v>
      </c>
      <c r="B1947" s="4" t="s">
        <v>342</v>
      </c>
      <c r="C1947" s="5">
        <v>78265.0</v>
      </c>
      <c r="D1947" s="8" t="str">
        <f>+35.487825°</f>
        <v>#ERROR!</v>
      </c>
      <c r="E1947" s="7" t="s">
        <v>3254</v>
      </c>
    </row>
    <row r="1948">
      <c r="A1948" s="3" t="s">
        <v>3162</v>
      </c>
      <c r="B1948" s="4" t="s">
        <v>3255</v>
      </c>
      <c r="C1948" s="5">
        <v>44996.0</v>
      </c>
      <c r="D1948" s="8" t="str">
        <f>+35.682232°</f>
        <v>#ERROR!</v>
      </c>
      <c r="E1948" s="7" t="s">
        <v>3256</v>
      </c>
    </row>
    <row r="1949">
      <c r="A1949" s="3" t="s">
        <v>3162</v>
      </c>
      <c r="B1949" s="4" t="s">
        <v>132</v>
      </c>
      <c r="C1949" s="5">
        <v>33922.0</v>
      </c>
      <c r="D1949" s="8" t="str">
        <f>+35.152959°</f>
        <v>#ERROR!</v>
      </c>
      <c r="E1949" s="7" t="s">
        <v>3257</v>
      </c>
    </row>
    <row r="1950">
      <c r="A1950" s="3" t="s">
        <v>3162</v>
      </c>
      <c r="B1950" s="4" t="s">
        <v>135</v>
      </c>
      <c r="C1950" s="5">
        <v>20764.0</v>
      </c>
      <c r="D1950" s="8" t="str">
        <f>+35.864080°</f>
        <v>#ERROR!</v>
      </c>
      <c r="E1950" s="7" t="s">
        <v>3258</v>
      </c>
    </row>
    <row r="1951">
      <c r="A1951" s="3" t="s">
        <v>3162</v>
      </c>
      <c r="B1951" s="4" t="s">
        <v>739</v>
      </c>
      <c r="C1951" s="5">
        <v>24505.0</v>
      </c>
      <c r="D1951" s="8" t="str">
        <f>+35.841059°</f>
        <v>#ERROR!</v>
      </c>
      <c r="E1951" s="7" t="s">
        <v>3259</v>
      </c>
    </row>
    <row r="1952">
      <c r="A1952" s="3" t="s">
        <v>3162</v>
      </c>
      <c r="B1952" s="4" t="s">
        <v>3260</v>
      </c>
      <c r="C1952" s="5">
        <v>919628.0</v>
      </c>
      <c r="D1952" s="8" t="str">
        <f>+35.246862°</f>
        <v>#ERROR!</v>
      </c>
      <c r="E1952" s="7" t="s">
        <v>3261</v>
      </c>
    </row>
    <row r="1953">
      <c r="A1953" s="3" t="s">
        <v>3162</v>
      </c>
      <c r="B1953" s="4" t="s">
        <v>955</v>
      </c>
      <c r="C1953" s="5">
        <v>15579.0</v>
      </c>
      <c r="D1953" s="8" t="str">
        <f>+36.013102°</f>
        <v>#ERROR!</v>
      </c>
      <c r="E1953" s="7" t="s">
        <v>3262</v>
      </c>
    </row>
    <row r="1954">
      <c r="A1954" s="3" t="s">
        <v>3162</v>
      </c>
      <c r="B1954" s="4" t="s">
        <v>149</v>
      </c>
      <c r="C1954" s="5">
        <v>27798.0</v>
      </c>
      <c r="D1954" s="8" t="str">
        <f>+35.338071°</f>
        <v>#ERROR!</v>
      </c>
      <c r="E1954" s="7" t="s">
        <v>3263</v>
      </c>
    </row>
    <row r="1955">
      <c r="A1955" s="3" t="s">
        <v>3162</v>
      </c>
      <c r="B1955" s="4" t="s">
        <v>3264</v>
      </c>
      <c r="C1955" s="5">
        <v>88247.0</v>
      </c>
      <c r="D1955" s="8" t="str">
        <f>+35.310163°</f>
        <v>#ERROR!</v>
      </c>
      <c r="E1955" s="7" t="s">
        <v>3265</v>
      </c>
    </row>
    <row r="1956">
      <c r="A1956" s="3" t="s">
        <v>3162</v>
      </c>
      <c r="B1956" s="4" t="s">
        <v>3266</v>
      </c>
      <c r="C1956" s="5">
        <v>95840.0</v>
      </c>
      <c r="D1956" s="8" t="str">
        <f>+35.965945°</f>
        <v>#ERROR!</v>
      </c>
      <c r="E1956" s="7" t="s">
        <v>3267</v>
      </c>
    </row>
    <row r="1957">
      <c r="A1957" s="3" t="s">
        <v>3162</v>
      </c>
      <c r="B1957" s="4" t="s">
        <v>3268</v>
      </c>
      <c r="C1957" s="5">
        <v>202667.0</v>
      </c>
      <c r="D1957" s="8" t="str">
        <f>+34.177466°</f>
        <v>#ERROR!</v>
      </c>
      <c r="E1957" s="7" t="s">
        <v>3269</v>
      </c>
    </row>
    <row r="1958">
      <c r="A1958" s="3" t="s">
        <v>3162</v>
      </c>
      <c r="B1958" s="4" t="s">
        <v>3270</v>
      </c>
      <c r="C1958" s="5">
        <v>22099.0</v>
      </c>
      <c r="D1958" s="8" t="str">
        <f>+36.421774°</f>
        <v>#ERROR!</v>
      </c>
      <c r="E1958" s="7" t="s">
        <v>3271</v>
      </c>
    </row>
    <row r="1959">
      <c r="A1959" s="3" t="s">
        <v>3162</v>
      </c>
      <c r="B1959" s="4" t="s">
        <v>3272</v>
      </c>
      <c r="C1959" s="5">
        <v>177772.0</v>
      </c>
      <c r="D1959" s="8" t="str">
        <f>+34.763460°</f>
        <v>#ERROR!</v>
      </c>
      <c r="E1959" s="7" t="s">
        <v>3273</v>
      </c>
    </row>
    <row r="1960">
      <c r="A1960" s="3" t="s">
        <v>3162</v>
      </c>
      <c r="B1960" s="4" t="s">
        <v>464</v>
      </c>
      <c r="C1960" s="5">
        <v>133801.0</v>
      </c>
      <c r="D1960" s="8" t="str">
        <f>+36.062499°</f>
        <v>#ERROR!</v>
      </c>
      <c r="E1960" s="7" t="s">
        <v>3274</v>
      </c>
    </row>
    <row r="1961">
      <c r="A1961" s="3" t="s">
        <v>3162</v>
      </c>
      <c r="B1961" s="4" t="s">
        <v>3275</v>
      </c>
      <c r="C1961" s="5">
        <v>13144.0</v>
      </c>
      <c r="D1961" s="8" t="str">
        <f>+35.147462°</f>
        <v>#ERROR!</v>
      </c>
      <c r="E1961" s="7" t="s">
        <v>3276</v>
      </c>
    </row>
    <row r="1962">
      <c r="A1962" s="3" t="s">
        <v>3162</v>
      </c>
      <c r="B1962" s="4" t="s">
        <v>3277</v>
      </c>
      <c r="C1962" s="5">
        <v>40661.0</v>
      </c>
      <c r="D1962" s="8" t="str">
        <f>+36.265276°</f>
        <v>#ERROR!</v>
      </c>
      <c r="E1962" s="7" t="s">
        <v>3278</v>
      </c>
    </row>
    <row r="1963">
      <c r="A1963" s="3" t="s">
        <v>3162</v>
      </c>
      <c r="B1963" s="4" t="s">
        <v>3279</v>
      </c>
      <c r="C1963" s="5">
        <v>52217.0</v>
      </c>
      <c r="D1963" s="8" t="str">
        <f>+34.512581°</f>
        <v>#ERROR!</v>
      </c>
      <c r="E1963" s="7" t="s">
        <v>3280</v>
      </c>
    </row>
    <row r="1964">
      <c r="A1964" s="3" t="s">
        <v>3162</v>
      </c>
      <c r="B1964" s="4" t="s">
        <v>3281</v>
      </c>
      <c r="C1964" s="5">
        <v>13453.0</v>
      </c>
      <c r="D1964" s="8" t="str">
        <f>+36.178261°</f>
        <v>#ERROR!</v>
      </c>
      <c r="E1964" s="7" t="s">
        <v>3282</v>
      </c>
    </row>
    <row r="1965">
      <c r="A1965" s="3" t="s">
        <v>3162</v>
      </c>
      <c r="B1965" s="4" t="s">
        <v>3283</v>
      </c>
      <c r="C1965" s="5">
        <v>39464.0</v>
      </c>
      <c r="D1965" s="8" t="str">
        <f>+36.386387°</f>
        <v>#ERROR!</v>
      </c>
      <c r="E1965" s="7" t="s">
        <v>3284</v>
      </c>
    </row>
    <row r="1966">
      <c r="A1966" s="3" t="s">
        <v>3162</v>
      </c>
      <c r="B1966" s="4" t="s">
        <v>3285</v>
      </c>
      <c r="C1966" s="5">
        <v>168148.0</v>
      </c>
      <c r="D1966" s="8" t="str">
        <f>+35.591065°</f>
        <v>#ERROR!</v>
      </c>
      <c r="E1966" s="7" t="s">
        <v>3286</v>
      </c>
    </row>
    <row r="1967">
      <c r="A1967" s="3" t="s">
        <v>3162</v>
      </c>
      <c r="B1967" s="4" t="s">
        <v>370</v>
      </c>
      <c r="C1967" s="5">
        <v>20510.0</v>
      </c>
      <c r="D1967" s="8" t="str">
        <f>+35.278928°</f>
        <v>#ERROR!</v>
      </c>
      <c r="E1967" s="7" t="s">
        <v>3287</v>
      </c>
    </row>
    <row r="1968">
      <c r="A1968" s="3" t="s">
        <v>3162</v>
      </c>
      <c r="B1968" s="4" t="s">
        <v>159</v>
      </c>
      <c r="C1968" s="5">
        <v>141752.0</v>
      </c>
      <c r="D1968" s="8" t="str">
        <f>+35.709915°</f>
        <v>#ERROR!</v>
      </c>
      <c r="E1968" s="7" t="s">
        <v>3288</v>
      </c>
    </row>
    <row r="1969">
      <c r="A1969" s="3" t="s">
        <v>3162</v>
      </c>
      <c r="B1969" s="4" t="s">
        <v>985</v>
      </c>
      <c r="C1969" s="5">
        <v>46639.0</v>
      </c>
      <c r="D1969" s="8" t="str">
        <f>+35.001957°</f>
        <v>#ERROR!</v>
      </c>
      <c r="E1969" s="7" t="s">
        <v>3289</v>
      </c>
    </row>
    <row r="1970">
      <c r="A1970" s="3" t="s">
        <v>3162</v>
      </c>
      <c r="B1970" s="4" t="s">
        <v>3290</v>
      </c>
      <c r="C1970" s="5">
        <v>134168.0</v>
      </c>
      <c r="D1970" s="8" t="str">
        <f>+34.639210°</f>
        <v>#ERROR!</v>
      </c>
      <c r="E1970" s="7" t="s">
        <v>3291</v>
      </c>
    </row>
    <row r="1971">
      <c r="A1971" s="3" t="s">
        <v>3162</v>
      </c>
      <c r="B1971" s="4" t="s">
        <v>2971</v>
      </c>
      <c r="C1971" s="5">
        <v>93643.0</v>
      </c>
      <c r="D1971" s="8" t="str">
        <f>+36.380927°</f>
        <v>#ERROR!</v>
      </c>
      <c r="E1971" s="7" t="s">
        <v>3292</v>
      </c>
    </row>
    <row r="1972">
      <c r="A1972" s="3" t="s">
        <v>3162</v>
      </c>
      <c r="B1972" s="4" t="s">
        <v>1904</v>
      </c>
      <c r="C1972" s="5">
        <v>138428.0</v>
      </c>
      <c r="D1972" s="8" t="str">
        <f>+35.639218°</f>
        <v>#ERROR!</v>
      </c>
      <c r="E1972" s="7" t="s">
        <v>3293</v>
      </c>
    </row>
    <row r="1973">
      <c r="A1973" s="3" t="s">
        <v>3162</v>
      </c>
      <c r="B1973" s="4" t="s">
        <v>3294</v>
      </c>
      <c r="C1973" s="5">
        <v>67810.0</v>
      </c>
      <c r="D1973" s="8" t="str">
        <f>+35.402747°</f>
        <v>#ERROR!</v>
      </c>
      <c r="E1973" s="7" t="s">
        <v>3295</v>
      </c>
    </row>
    <row r="1974">
      <c r="A1974" s="3" t="s">
        <v>3162</v>
      </c>
      <c r="B1974" s="4" t="s">
        <v>3296</v>
      </c>
      <c r="C1974" s="5">
        <v>63431.0</v>
      </c>
      <c r="D1974" s="8" t="str">
        <f>+34.990575°</f>
        <v>#ERROR!</v>
      </c>
      <c r="E1974" s="7" t="s">
        <v>3297</v>
      </c>
    </row>
    <row r="1975">
      <c r="A1975" s="3" t="s">
        <v>3162</v>
      </c>
      <c r="B1975" s="4" t="s">
        <v>2679</v>
      </c>
      <c r="C1975" s="5">
        <v>36157.0</v>
      </c>
      <c r="D1975" s="8" t="str">
        <f>+34.840023°</f>
        <v>#ERROR!</v>
      </c>
      <c r="E1975" s="7" t="s">
        <v>3298</v>
      </c>
    </row>
    <row r="1976">
      <c r="A1976" s="3" t="s">
        <v>3162</v>
      </c>
      <c r="B1976" s="4" t="s">
        <v>3299</v>
      </c>
      <c r="C1976" s="5">
        <v>60585.0</v>
      </c>
      <c r="D1976" s="8" t="str">
        <f>+35.310523°</f>
        <v>#ERROR!</v>
      </c>
      <c r="E1976" s="7" t="s">
        <v>3300</v>
      </c>
    </row>
    <row r="1977">
      <c r="A1977" s="3" t="s">
        <v>3162</v>
      </c>
      <c r="B1977" s="4" t="s">
        <v>3301</v>
      </c>
      <c r="C1977" s="5">
        <v>47401.0</v>
      </c>
      <c r="D1977" s="8" t="str">
        <f>+36.404195°</f>
        <v>#ERROR!</v>
      </c>
      <c r="E1977" s="7" t="s">
        <v>3302</v>
      </c>
    </row>
    <row r="1978">
      <c r="A1978" s="3" t="s">
        <v>3162</v>
      </c>
      <c r="B1978" s="4" t="s">
        <v>3303</v>
      </c>
      <c r="C1978" s="5">
        <v>73673.0</v>
      </c>
      <c r="D1978" s="8" t="str">
        <f>+36.415416°</f>
        <v>#ERROR!</v>
      </c>
      <c r="E1978" s="7" t="s">
        <v>3304</v>
      </c>
    </row>
    <row r="1979">
      <c r="A1979" s="3" t="s">
        <v>3162</v>
      </c>
      <c r="B1979" s="4" t="s">
        <v>3305</v>
      </c>
      <c r="C1979" s="5">
        <v>13981.0</v>
      </c>
      <c r="D1979" s="8" t="str">
        <f>+35.568849°</f>
        <v>#ERROR!</v>
      </c>
      <c r="E1979" s="7" t="s">
        <v>3306</v>
      </c>
    </row>
    <row r="1980">
      <c r="A1980" s="3" t="s">
        <v>3162</v>
      </c>
      <c r="B1980" s="4" t="s">
        <v>3307</v>
      </c>
      <c r="C1980" s="5">
        <v>33090.0</v>
      </c>
      <c r="D1980" s="8" t="str">
        <f>+35.210095°</f>
        <v>#ERROR!</v>
      </c>
      <c r="E1980" s="7" t="s">
        <v>3308</v>
      </c>
    </row>
    <row r="1981">
      <c r="A1981" s="3" t="s">
        <v>3162</v>
      </c>
      <c r="B1981" s="4" t="s">
        <v>3309</v>
      </c>
      <c r="C1981" s="5">
        <v>4407.0</v>
      </c>
      <c r="D1981" s="8" t="str">
        <f>+35.870420°</f>
        <v>#ERROR!</v>
      </c>
      <c r="E1981" s="7" t="s">
        <v>3310</v>
      </c>
    </row>
    <row r="1982">
      <c r="A1982" s="3" t="s">
        <v>3162</v>
      </c>
      <c r="B1982" s="4" t="s">
        <v>395</v>
      </c>
      <c r="C1982" s="5">
        <v>201292.0</v>
      </c>
      <c r="D1982" s="8" t="str">
        <f>+34.991501°</f>
        <v>#ERROR!</v>
      </c>
      <c r="E1982" s="7" t="s">
        <v>3311</v>
      </c>
    </row>
    <row r="1983">
      <c r="A1983" s="3" t="s">
        <v>3162</v>
      </c>
      <c r="B1983" s="4" t="s">
        <v>3312</v>
      </c>
      <c r="C1983" s="5">
        <v>45422.0</v>
      </c>
      <c r="D1983" s="8" t="str">
        <f>+36.365481°</f>
        <v>#ERROR!</v>
      </c>
      <c r="E1983" s="7" t="s">
        <v>3313</v>
      </c>
    </row>
    <row r="1984">
      <c r="A1984" s="3" t="s">
        <v>3162</v>
      </c>
      <c r="B1984" s="4" t="s">
        <v>3314</v>
      </c>
      <c r="C1984" s="5">
        <v>900993.0</v>
      </c>
      <c r="D1984" s="8" t="str">
        <f>+35.789846°</f>
        <v>#ERROR!</v>
      </c>
      <c r="E1984" s="7" t="s">
        <v>3315</v>
      </c>
    </row>
    <row r="1985">
      <c r="A1985" s="3" t="s">
        <v>3162</v>
      </c>
      <c r="B1985" s="4" t="s">
        <v>1035</v>
      </c>
      <c r="C1985" s="5">
        <v>20972.0</v>
      </c>
      <c r="D1985" s="8" t="str">
        <f>+36.397979°</f>
        <v>#ERROR!</v>
      </c>
      <c r="E1985" s="7" t="s">
        <v>3316</v>
      </c>
    </row>
    <row r="1986">
      <c r="A1986" s="3" t="s">
        <v>3162</v>
      </c>
      <c r="B1986" s="4" t="s">
        <v>177</v>
      </c>
      <c r="C1986" s="5">
        <v>13228.0</v>
      </c>
      <c r="D1986" s="8" t="str">
        <f>+35.844589°</f>
        <v>#ERROR!</v>
      </c>
      <c r="E1986" s="7" t="s">
        <v>3317</v>
      </c>
    </row>
    <row r="1987">
      <c r="A1987" s="3" t="s">
        <v>3162</v>
      </c>
      <c r="B1987" s="4" t="s">
        <v>3318</v>
      </c>
      <c r="C1987" s="5">
        <v>51079.0</v>
      </c>
      <c r="D1987" s="8" t="str">
        <f>+36.235371°</f>
        <v>#ERROR!</v>
      </c>
      <c r="E1987" s="7" t="s">
        <v>3319</v>
      </c>
    </row>
    <row r="1988">
      <c r="A1988" s="3" t="s">
        <v>3162</v>
      </c>
      <c r="B1988" s="4" t="s">
        <v>1038</v>
      </c>
      <c r="C1988" s="5">
        <v>122623.0</v>
      </c>
      <c r="D1988" s="8" t="str">
        <f>+35.362741°</f>
        <v>#ERROR!</v>
      </c>
      <c r="E1988" s="7" t="s">
        <v>3320</v>
      </c>
    </row>
    <row r="1989">
      <c r="A1989" s="3" t="s">
        <v>3162</v>
      </c>
      <c r="B1989" s="4" t="s">
        <v>1048</v>
      </c>
      <c r="C1989" s="5">
        <v>69340.0</v>
      </c>
      <c r="D1989" s="8" t="str">
        <f>+36.209303°</f>
        <v>#ERROR!</v>
      </c>
      <c r="E1989" s="7" t="s">
        <v>3321</v>
      </c>
    </row>
    <row r="1990">
      <c r="A1990" s="3" t="s">
        <v>3162</v>
      </c>
      <c r="B1990" s="4" t="s">
        <v>1746</v>
      </c>
      <c r="C1990" s="5">
        <v>81234.0</v>
      </c>
      <c r="D1990" s="8" t="str">
        <f>+35.704125°</f>
        <v>#ERROR!</v>
      </c>
      <c r="E1990" s="7" t="s">
        <v>3322</v>
      </c>
    </row>
    <row r="1991">
      <c r="A1991" s="3" t="s">
        <v>3162</v>
      </c>
      <c r="B1991" s="4" t="s">
        <v>3323</v>
      </c>
      <c r="C1991" s="5">
        <v>38406.0</v>
      </c>
      <c r="D1991" s="8" t="str">
        <f>+36.158765°</f>
        <v>#ERROR!</v>
      </c>
      <c r="E1991" s="7" t="s">
        <v>3324</v>
      </c>
    </row>
    <row r="1992">
      <c r="A1992" s="3" t="s">
        <v>3162</v>
      </c>
      <c r="B1992" s="4" t="s">
        <v>3325</v>
      </c>
      <c r="C1992" s="5">
        <v>17818.0</v>
      </c>
      <c r="D1992" s="8" t="str">
        <f>+35.889504°</f>
        <v>#ERROR!</v>
      </c>
      <c r="E1992" s="7" t="s">
        <v>3326</v>
      </c>
    </row>
    <row r="1993">
      <c r="A1993" s="3" t="s">
        <v>3327</v>
      </c>
      <c r="B1993" s="4" t="s">
        <v>522</v>
      </c>
      <c r="C1993" s="5">
        <v>2343.0</v>
      </c>
      <c r="D1993" s="8" t="str">
        <f>+46.096815°</f>
        <v>#ERROR!</v>
      </c>
      <c r="E1993" s="7" t="s">
        <v>3328</v>
      </c>
    </row>
    <row r="1994">
      <c r="A1994" s="3" t="s">
        <v>3327</v>
      </c>
      <c r="B1994" s="4" t="s">
        <v>3329</v>
      </c>
      <c r="C1994" s="5">
        <v>11066.0</v>
      </c>
      <c r="D1994" s="8" t="str">
        <f>+46.942550°</f>
        <v>#ERROR!</v>
      </c>
      <c r="E1994" s="7" t="s">
        <v>3330</v>
      </c>
    </row>
    <row r="1995">
      <c r="A1995" s="3" t="s">
        <v>3327</v>
      </c>
      <c r="B1995" s="4" t="s">
        <v>3331</v>
      </c>
      <c r="C1995" s="5">
        <v>6660.0</v>
      </c>
      <c r="D1995" s="8" t="str">
        <f>+48.071738°</f>
        <v>#ERROR!</v>
      </c>
      <c r="E1995" s="7" t="s">
        <v>3332</v>
      </c>
    </row>
    <row r="1996">
      <c r="A1996" s="3" t="s">
        <v>3327</v>
      </c>
      <c r="B1996" s="4" t="s">
        <v>3333</v>
      </c>
      <c r="C1996" s="7">
        <v>783.0</v>
      </c>
      <c r="D1996" s="8" t="str">
        <f>+47.009283°</f>
        <v>#ERROR!</v>
      </c>
      <c r="E1996" s="7" t="s">
        <v>3334</v>
      </c>
    </row>
    <row r="1997">
      <c r="A1997" s="3" t="s">
        <v>3327</v>
      </c>
      <c r="B1997" s="4" t="s">
        <v>3335</v>
      </c>
      <c r="C1997" s="5">
        <v>6429.0</v>
      </c>
      <c r="D1997" s="8" t="str">
        <f>+48.794412°</f>
        <v>#ERROR!</v>
      </c>
      <c r="E1997" s="7" t="s">
        <v>3336</v>
      </c>
    </row>
    <row r="1998">
      <c r="A1998" s="3" t="s">
        <v>3327</v>
      </c>
      <c r="B1998" s="4" t="s">
        <v>3337</v>
      </c>
      <c r="C1998" s="5">
        <v>3151.0</v>
      </c>
      <c r="D1998" s="8" t="str">
        <f>+46.107807°</f>
        <v>#ERROR!</v>
      </c>
      <c r="E1998" s="7" t="s">
        <v>3338</v>
      </c>
    </row>
    <row r="1999">
      <c r="A1999" s="3" t="s">
        <v>3327</v>
      </c>
      <c r="B1999" s="4" t="s">
        <v>815</v>
      </c>
      <c r="C1999" s="5">
        <v>1968.0</v>
      </c>
      <c r="D1999" s="8" t="str">
        <f>+48.786453°</f>
        <v>#ERROR!</v>
      </c>
      <c r="E1999" s="7" t="s">
        <v>3339</v>
      </c>
    </row>
    <row r="2000">
      <c r="A2000" s="3" t="s">
        <v>3327</v>
      </c>
      <c r="B2000" s="4" t="s">
        <v>3340</v>
      </c>
      <c r="C2000" s="5">
        <v>81308.0</v>
      </c>
      <c r="D2000" s="8" t="str">
        <f>+46.971843°</f>
        <v>#ERROR!</v>
      </c>
      <c r="E2000" s="7" t="s">
        <v>3341</v>
      </c>
    </row>
    <row r="2001">
      <c r="A2001" s="3" t="s">
        <v>3327</v>
      </c>
      <c r="B2001" s="4" t="s">
        <v>1156</v>
      </c>
      <c r="C2001" s="5">
        <v>149778.0</v>
      </c>
      <c r="D2001" s="8" t="str">
        <f>+46.927003°</f>
        <v>#ERROR!</v>
      </c>
      <c r="E2001" s="7" t="s">
        <v>3342</v>
      </c>
    </row>
    <row r="2002">
      <c r="A2002" s="3" t="s">
        <v>3327</v>
      </c>
      <c r="B2002" s="4" t="s">
        <v>3343</v>
      </c>
      <c r="C2002" s="5">
        <v>3993.0</v>
      </c>
      <c r="D2002" s="8" t="str">
        <f>+48.768439°</f>
        <v>#ERROR!</v>
      </c>
      <c r="E2002" s="7" t="s">
        <v>3344</v>
      </c>
    </row>
    <row r="2003">
      <c r="A2003" s="3" t="s">
        <v>3327</v>
      </c>
      <c r="B2003" s="4" t="s">
        <v>3345</v>
      </c>
      <c r="C2003" s="5">
        <v>5289.0</v>
      </c>
      <c r="D2003" s="8" t="str">
        <f>+46.107756°</f>
        <v>#ERROR!</v>
      </c>
      <c r="E2003" s="7" t="s">
        <v>3346</v>
      </c>
    </row>
    <row r="2004">
      <c r="A2004" s="3" t="s">
        <v>3327</v>
      </c>
      <c r="B2004" s="4" t="s">
        <v>3347</v>
      </c>
      <c r="C2004" s="5">
        <v>2071.0</v>
      </c>
      <c r="D2004" s="8" t="str">
        <f>+48.818142°</f>
        <v>#ERROR!</v>
      </c>
      <c r="E2004" s="7" t="s">
        <v>3348</v>
      </c>
    </row>
    <row r="2005">
      <c r="A2005" s="3" t="s">
        <v>3327</v>
      </c>
      <c r="B2005" s="4" t="s">
        <v>3349</v>
      </c>
      <c r="C2005" s="5">
        <v>3536.0</v>
      </c>
      <c r="D2005" s="8" t="str">
        <f>+47.354610°</f>
        <v>#ERROR!</v>
      </c>
      <c r="E2005" s="7" t="s">
        <v>3350</v>
      </c>
    </row>
    <row r="2006">
      <c r="A2006" s="3" t="s">
        <v>3327</v>
      </c>
      <c r="B2006" s="4" t="s">
        <v>3025</v>
      </c>
      <c r="C2006" s="5">
        <v>2385.0</v>
      </c>
      <c r="D2006" s="8" t="str">
        <f>+47.723436°</f>
        <v>#ERROR!</v>
      </c>
      <c r="E2006" s="7" t="s">
        <v>3351</v>
      </c>
    </row>
    <row r="2007">
      <c r="A2007" s="3" t="s">
        <v>3327</v>
      </c>
      <c r="B2007" s="4" t="s">
        <v>3352</v>
      </c>
      <c r="C2007" s="5">
        <v>3550.0</v>
      </c>
      <c r="D2007" s="8" t="str">
        <f>+46.284255°</f>
        <v>#ERROR!</v>
      </c>
      <c r="E2007" s="7" t="s">
        <v>3353</v>
      </c>
    </row>
    <row r="2008">
      <c r="A2008" s="3" t="s">
        <v>3327</v>
      </c>
      <c r="B2008" s="4" t="s">
        <v>3354</v>
      </c>
      <c r="C2008" s="5">
        <v>3343.0</v>
      </c>
      <c r="D2008" s="8" t="str">
        <f>+47.464327°</f>
        <v>#ERROR!</v>
      </c>
      <c r="E2008" s="7" t="s">
        <v>3355</v>
      </c>
    </row>
    <row r="2009">
      <c r="A2009" s="3" t="s">
        <v>3327</v>
      </c>
      <c r="B2009" s="4" t="s">
        <v>2733</v>
      </c>
      <c r="C2009" s="5">
        <v>1680.0</v>
      </c>
      <c r="D2009" s="8" t="str">
        <f>+46.938924°</f>
        <v>#ERROR!</v>
      </c>
      <c r="E2009" s="7" t="s">
        <v>3356</v>
      </c>
    </row>
    <row r="2010">
      <c r="A2010" s="3" t="s">
        <v>3327</v>
      </c>
      <c r="B2010" s="4" t="s">
        <v>3357</v>
      </c>
      <c r="C2010" s="5">
        <v>66861.0</v>
      </c>
      <c r="D2010" s="8" t="str">
        <f>+47.926003°</f>
        <v>#ERROR!</v>
      </c>
      <c r="E2010" s="7" t="s">
        <v>3358</v>
      </c>
    </row>
    <row r="2011">
      <c r="A2011" s="3" t="s">
        <v>3327</v>
      </c>
      <c r="B2011" s="4" t="s">
        <v>321</v>
      </c>
      <c r="C2011" s="5">
        <v>2394.0</v>
      </c>
      <c r="D2011" s="8" t="str">
        <f>+46.357827°</f>
        <v>#ERROR!</v>
      </c>
      <c r="E2011" s="7" t="s">
        <v>3359</v>
      </c>
    </row>
    <row r="2012">
      <c r="A2012" s="3" t="s">
        <v>3327</v>
      </c>
      <c r="B2012" s="4" t="s">
        <v>3360</v>
      </c>
      <c r="C2012" s="5">
        <v>2420.0</v>
      </c>
      <c r="D2012" s="8" t="str">
        <f>+47.463463°</f>
        <v>#ERROR!</v>
      </c>
      <c r="E2012" s="7" t="s">
        <v>3361</v>
      </c>
    </row>
    <row r="2013">
      <c r="A2013" s="3" t="s">
        <v>3327</v>
      </c>
      <c r="B2013" s="4" t="s">
        <v>3362</v>
      </c>
      <c r="C2013" s="5">
        <v>2477.0</v>
      </c>
      <c r="D2013" s="8" t="str">
        <f>+46.434939°</f>
        <v>#ERROR!</v>
      </c>
      <c r="E2013" s="7" t="s">
        <v>3363</v>
      </c>
    </row>
    <row r="2014">
      <c r="A2014" s="3" t="s">
        <v>3327</v>
      </c>
      <c r="B2014" s="4" t="s">
        <v>3364</v>
      </c>
      <c r="C2014" s="5">
        <v>2435.0</v>
      </c>
      <c r="D2014" s="8" t="str">
        <f>+46.935385°</f>
        <v>#ERROR!</v>
      </c>
      <c r="E2014" s="7" t="s">
        <v>3365</v>
      </c>
    </row>
    <row r="2015">
      <c r="A2015" s="3" t="s">
        <v>3327</v>
      </c>
      <c r="B2015" s="4" t="s">
        <v>3366</v>
      </c>
      <c r="C2015" s="5">
        <v>4139.0</v>
      </c>
      <c r="D2015" s="8" t="str">
        <f>+46.464195°</f>
        <v>#ERROR!</v>
      </c>
      <c r="E2015" s="7" t="s">
        <v>3367</v>
      </c>
    </row>
    <row r="2016">
      <c r="A2016" s="3" t="s">
        <v>3327</v>
      </c>
      <c r="B2016" s="4" t="s">
        <v>346</v>
      </c>
      <c r="C2016" s="5">
        <v>1990.0</v>
      </c>
      <c r="D2016" s="8" t="str">
        <f>+46.469278°</f>
        <v>#ERROR!</v>
      </c>
      <c r="E2016" s="7" t="s">
        <v>3368</v>
      </c>
    </row>
    <row r="2017">
      <c r="A2017" s="3" t="s">
        <v>3327</v>
      </c>
      <c r="B2017" s="4" t="s">
        <v>1228</v>
      </c>
      <c r="C2017" s="5">
        <v>5395.0</v>
      </c>
      <c r="D2017" s="8" t="str">
        <f>+48.233842°</f>
        <v>#ERROR!</v>
      </c>
      <c r="E2017" s="7" t="s">
        <v>3369</v>
      </c>
    </row>
    <row r="2018">
      <c r="A2018" s="3" t="s">
        <v>3327</v>
      </c>
      <c r="B2018" s="4" t="s">
        <v>947</v>
      </c>
      <c r="C2018" s="5">
        <v>2809.0</v>
      </c>
      <c r="D2018" s="8" t="str">
        <f>+46.117034°</f>
        <v>#ERROR!</v>
      </c>
      <c r="E2018" s="7" t="s">
        <v>3370</v>
      </c>
    </row>
    <row r="2019">
      <c r="A2019" s="3" t="s">
        <v>3327</v>
      </c>
      <c r="B2019" s="4" t="s">
        <v>3371</v>
      </c>
      <c r="C2019" s="5">
        <v>6360.0</v>
      </c>
      <c r="D2019" s="8" t="str">
        <f>+47.742475°</f>
        <v>#ERROR!</v>
      </c>
      <c r="E2019" s="7" t="s">
        <v>3372</v>
      </c>
    </row>
    <row r="2020">
      <c r="A2020" s="3" t="s">
        <v>3327</v>
      </c>
      <c r="B2020" s="4" t="s">
        <v>1230</v>
      </c>
      <c r="C2020" s="5">
        <v>8962.0</v>
      </c>
      <c r="D2020" s="8" t="str">
        <f>+47.653055°</f>
        <v>#ERROR!</v>
      </c>
      <c r="E2020" s="7" t="s">
        <v>3373</v>
      </c>
    </row>
    <row r="2021">
      <c r="A2021" s="3" t="s">
        <v>3327</v>
      </c>
      <c r="B2021" s="4" t="s">
        <v>1244</v>
      </c>
      <c r="C2021" s="5">
        <v>8424.0</v>
      </c>
      <c r="D2021" s="8" t="str">
        <f>+47.303279°</f>
        <v>#ERROR!</v>
      </c>
      <c r="E2021" s="7" t="s">
        <v>3374</v>
      </c>
    </row>
    <row r="2022">
      <c r="A2022" s="3" t="s">
        <v>3327</v>
      </c>
      <c r="B2022" s="4" t="s">
        <v>1678</v>
      </c>
      <c r="C2022" s="5">
        <v>27471.0</v>
      </c>
      <c r="D2022" s="8" t="str">
        <f>+46.713789°</f>
        <v>#ERROR!</v>
      </c>
      <c r="E2022" s="7" t="s">
        <v>3375</v>
      </c>
    </row>
    <row r="2023">
      <c r="A2023" s="3" t="s">
        <v>3327</v>
      </c>
      <c r="B2023" s="4" t="s">
        <v>3376</v>
      </c>
      <c r="C2023" s="5">
        <v>7673.0</v>
      </c>
      <c r="D2023" s="8" t="str">
        <f>+48.210291°</f>
        <v>#ERROR!</v>
      </c>
      <c r="E2023" s="7" t="s">
        <v>3377</v>
      </c>
    </row>
    <row r="2024">
      <c r="A2024" s="3" t="s">
        <v>3327</v>
      </c>
      <c r="B2024" s="4" t="s">
        <v>1883</v>
      </c>
      <c r="C2024" s="5">
        <v>3126.0</v>
      </c>
      <c r="D2024" s="8" t="str">
        <f>+47.918667°</f>
        <v>#ERROR!</v>
      </c>
      <c r="E2024" s="7" t="s">
        <v>3378</v>
      </c>
    </row>
    <row r="2025">
      <c r="A2025" s="3" t="s">
        <v>3327</v>
      </c>
      <c r="B2025" s="4" t="s">
        <v>3379</v>
      </c>
      <c r="C2025" s="5">
        <v>1846.0</v>
      </c>
      <c r="D2025" s="8" t="str">
        <f>+47.118079°</f>
        <v>#ERROR!</v>
      </c>
      <c r="E2025" s="7" t="s">
        <v>3380</v>
      </c>
    </row>
    <row r="2026">
      <c r="A2026" s="3" t="s">
        <v>3327</v>
      </c>
      <c r="B2026" s="4" t="s">
        <v>3381</v>
      </c>
      <c r="C2026" s="5">
        <v>7413.0</v>
      </c>
      <c r="D2026" s="8" t="str">
        <f>+48.766896°</f>
        <v>#ERROR!</v>
      </c>
      <c r="E2026" s="7" t="s">
        <v>3382</v>
      </c>
    </row>
    <row r="2027">
      <c r="A2027" s="3" t="s">
        <v>3327</v>
      </c>
      <c r="B2027" s="4" t="s">
        <v>974</v>
      </c>
      <c r="C2027" s="5">
        <v>4357.0</v>
      </c>
      <c r="D2027" s="8" t="str">
        <f>+48.238883°</f>
        <v>#ERROR!</v>
      </c>
      <c r="E2027" s="7" t="s">
        <v>3383</v>
      </c>
    </row>
    <row r="2028">
      <c r="A2028" s="3" t="s">
        <v>3327</v>
      </c>
      <c r="B2028" s="4" t="s">
        <v>2384</v>
      </c>
      <c r="C2028" s="5">
        <v>11451.0</v>
      </c>
      <c r="D2028" s="8" t="str">
        <f>+48.265551°</f>
        <v>#ERROR!</v>
      </c>
      <c r="E2028" s="7" t="s">
        <v>3384</v>
      </c>
    </row>
    <row r="2029">
      <c r="A2029" s="3" t="s">
        <v>3327</v>
      </c>
      <c r="B2029" s="4" t="s">
        <v>3385</v>
      </c>
      <c r="C2029" s="5">
        <v>5457.0</v>
      </c>
      <c r="D2029" s="8" t="str">
        <f>+46.449276°</f>
        <v>#ERROR!</v>
      </c>
      <c r="E2029" s="7" t="s">
        <v>3386</v>
      </c>
    </row>
    <row r="2030">
      <c r="A2030" s="3" t="s">
        <v>3327</v>
      </c>
      <c r="B2030" s="4" t="s">
        <v>2390</v>
      </c>
      <c r="C2030" s="5">
        <v>2470.0</v>
      </c>
      <c r="D2030" s="8" t="str">
        <f>+48.712782°</f>
        <v>#ERROR!</v>
      </c>
      <c r="E2030" s="7" t="s">
        <v>3387</v>
      </c>
    </row>
    <row r="2031">
      <c r="A2031" s="3" t="s">
        <v>3327</v>
      </c>
      <c r="B2031" s="4" t="s">
        <v>1263</v>
      </c>
      <c r="C2031" s="5">
        <v>16321.0</v>
      </c>
      <c r="D2031" s="8" t="str">
        <f>+46.265219°</f>
        <v>#ERROR!</v>
      </c>
      <c r="E2031" s="7" t="s">
        <v>3388</v>
      </c>
    </row>
    <row r="2032">
      <c r="A2032" s="3" t="s">
        <v>3327</v>
      </c>
      <c r="B2032" s="4" t="s">
        <v>3389</v>
      </c>
      <c r="C2032" s="5">
        <v>13937.0</v>
      </c>
      <c r="D2032" s="8" t="str">
        <f>+48.768272°</f>
        <v>#ERROR!</v>
      </c>
      <c r="E2032" s="7" t="s">
        <v>3390</v>
      </c>
    </row>
    <row r="2033">
      <c r="A2033" s="3" t="s">
        <v>3327</v>
      </c>
      <c r="B2033" s="4" t="s">
        <v>3391</v>
      </c>
      <c r="C2033" s="5">
        <v>3829.0</v>
      </c>
      <c r="D2033" s="8" t="str">
        <f>+46.108206°</f>
        <v>#ERROR!</v>
      </c>
      <c r="E2033" s="7" t="s">
        <v>3392</v>
      </c>
    </row>
    <row r="2034">
      <c r="A2034" s="3" t="s">
        <v>3327</v>
      </c>
      <c r="B2034" s="4" t="s">
        <v>1722</v>
      </c>
      <c r="C2034" s="5">
        <v>1321.0</v>
      </c>
      <c r="D2034" s="8" t="str">
        <f>+47.581373°</f>
        <v>#ERROR!</v>
      </c>
      <c r="E2034" s="7" t="s">
        <v>3393</v>
      </c>
    </row>
    <row r="2035">
      <c r="A2035" s="3" t="s">
        <v>3327</v>
      </c>
      <c r="B2035" s="4" t="s">
        <v>1556</v>
      </c>
      <c r="C2035" s="5">
        <v>4153.0</v>
      </c>
      <c r="D2035" s="8" t="str">
        <f>+46.109282°</f>
        <v>#ERROR!</v>
      </c>
      <c r="E2035" s="7" t="s">
        <v>3394</v>
      </c>
    </row>
    <row r="2036">
      <c r="A2036" s="3" t="s">
        <v>3327</v>
      </c>
      <c r="B2036" s="4" t="s">
        <v>3395</v>
      </c>
      <c r="C2036" s="7">
        <v>727.0</v>
      </c>
      <c r="D2036" s="8" t="str">
        <f>+46.445834°</f>
        <v>#ERROR!</v>
      </c>
      <c r="E2036" s="7" t="s">
        <v>3396</v>
      </c>
    </row>
    <row r="2037">
      <c r="A2037" s="3" t="s">
        <v>3327</v>
      </c>
      <c r="B2037" s="4" t="s">
        <v>1275</v>
      </c>
      <c r="C2037" s="5">
        <v>24199.0</v>
      </c>
      <c r="D2037" s="8" t="str">
        <f>+46.817031°</f>
        <v>#ERROR!</v>
      </c>
      <c r="E2037" s="7" t="s">
        <v>3397</v>
      </c>
    </row>
    <row r="2038">
      <c r="A2038" s="3" t="s">
        <v>3327</v>
      </c>
      <c r="B2038" s="4" t="s">
        <v>2406</v>
      </c>
      <c r="C2038" s="5">
        <v>1975.0</v>
      </c>
      <c r="D2038" s="8" t="str">
        <f>+47.458288°</f>
        <v>#ERROR!</v>
      </c>
      <c r="E2038" s="7" t="s">
        <v>3398</v>
      </c>
    </row>
    <row r="2039">
      <c r="A2039" s="3" t="s">
        <v>3327</v>
      </c>
      <c r="B2039" s="4" t="s">
        <v>3399</v>
      </c>
      <c r="C2039" s="5">
        <v>21100.0</v>
      </c>
      <c r="D2039" s="8" t="str">
        <f>+46.971103°</f>
        <v>#ERROR!</v>
      </c>
      <c r="E2039" s="7" t="s">
        <v>3400</v>
      </c>
    </row>
    <row r="2040">
      <c r="A2040" s="3" t="s">
        <v>3327</v>
      </c>
      <c r="B2040" s="4" t="s">
        <v>3401</v>
      </c>
      <c r="C2040" s="5">
        <v>2246.0</v>
      </c>
      <c r="D2040" s="8" t="str">
        <f>+48.682183°</f>
        <v>#ERROR!</v>
      </c>
      <c r="E2040" s="7" t="s">
        <v>3402</v>
      </c>
    </row>
    <row r="2041">
      <c r="A2041" s="3" t="s">
        <v>3327</v>
      </c>
      <c r="B2041" s="4" t="s">
        <v>3403</v>
      </c>
      <c r="C2041" s="5">
        <v>8121.0</v>
      </c>
      <c r="D2041" s="8" t="str">
        <f>+47.446215°</f>
        <v>#ERROR!</v>
      </c>
      <c r="E2041" s="7" t="s">
        <v>3404</v>
      </c>
    </row>
    <row r="2042">
      <c r="A2042" s="3" t="s">
        <v>3327</v>
      </c>
      <c r="B2042" s="4" t="s">
        <v>3405</v>
      </c>
      <c r="C2042" s="5">
        <v>11119.0</v>
      </c>
      <c r="D2042" s="8" t="str">
        <f>+48.376979°</f>
        <v>#ERROR!</v>
      </c>
      <c r="E2042" s="7" t="s">
        <v>3406</v>
      </c>
    </row>
    <row r="2043">
      <c r="A2043" s="3" t="s">
        <v>3327</v>
      </c>
      <c r="B2043" s="4" t="s">
        <v>3407</v>
      </c>
      <c r="C2043" s="5">
        <v>61675.0</v>
      </c>
      <c r="D2043" s="8" t="str">
        <f>+48.216686°</f>
        <v>#ERROR!</v>
      </c>
      <c r="E2043" s="7" t="s">
        <v>3408</v>
      </c>
    </row>
    <row r="2044">
      <c r="A2044" s="3" t="s">
        <v>3327</v>
      </c>
      <c r="B2044" s="4" t="s">
        <v>1429</v>
      </c>
      <c r="C2044" s="5">
        <v>4207.0</v>
      </c>
      <c r="D2044" s="8" t="str">
        <f>+47.580851°</f>
        <v>#ERROR!</v>
      </c>
      <c r="E2044" s="7" t="s">
        <v>3409</v>
      </c>
    </row>
    <row r="2045">
      <c r="A2045" s="3" t="s">
        <v>3327</v>
      </c>
      <c r="B2045" s="4" t="s">
        <v>3410</v>
      </c>
      <c r="C2045" s="5">
        <v>22398.0</v>
      </c>
      <c r="D2045" s="8" t="str">
        <f>+48.345867°</f>
        <v>#ERROR!</v>
      </c>
      <c r="E2045" s="7" t="s">
        <v>3411</v>
      </c>
    </row>
    <row r="2046">
      <c r="A2046" s="3" t="s">
        <v>3412</v>
      </c>
      <c r="B2046" s="4" t="s">
        <v>522</v>
      </c>
      <c r="C2046" s="5">
        <v>28550.0</v>
      </c>
      <c r="D2046" s="8" t="str">
        <f>+38.841681°</f>
        <v>#ERROR!</v>
      </c>
      <c r="E2046" s="7" t="s">
        <v>3413</v>
      </c>
    </row>
    <row r="2047">
      <c r="A2047" s="3" t="s">
        <v>3412</v>
      </c>
      <c r="B2047" s="4" t="s">
        <v>1302</v>
      </c>
      <c r="C2047" s="5">
        <v>106331.0</v>
      </c>
      <c r="D2047" s="8" t="str">
        <f>+40.771528°</f>
        <v>#ERROR!</v>
      </c>
      <c r="E2047" s="7" t="s">
        <v>3414</v>
      </c>
    </row>
    <row r="2048">
      <c r="A2048" s="3" t="s">
        <v>3412</v>
      </c>
      <c r="B2048" s="4" t="s">
        <v>3415</v>
      </c>
      <c r="C2048" s="5">
        <v>53139.0</v>
      </c>
      <c r="D2048" s="8" t="str">
        <f>+40.843274°</f>
        <v>#ERROR!</v>
      </c>
      <c r="E2048" s="7" t="s">
        <v>3416</v>
      </c>
    </row>
    <row r="2049">
      <c r="A2049" s="3" t="s">
        <v>3412</v>
      </c>
      <c r="B2049" s="4" t="s">
        <v>3417</v>
      </c>
      <c r="C2049" s="5">
        <v>101497.0</v>
      </c>
      <c r="D2049" s="8" t="str">
        <f>+41.906644°</f>
        <v>#ERROR!</v>
      </c>
      <c r="E2049" s="7" t="s">
        <v>3418</v>
      </c>
    </row>
    <row r="2050">
      <c r="A2050" s="3" t="s">
        <v>3412</v>
      </c>
      <c r="B2050" s="4" t="s">
        <v>3419</v>
      </c>
      <c r="C2050" s="5">
        <v>64757.0</v>
      </c>
      <c r="D2050" s="8" t="str">
        <f>+39.333848°</f>
        <v>#ERROR!</v>
      </c>
      <c r="E2050" s="7" t="s">
        <v>3420</v>
      </c>
    </row>
    <row r="2051">
      <c r="A2051" s="3" t="s">
        <v>3412</v>
      </c>
      <c r="B2051" s="4" t="s">
        <v>3421</v>
      </c>
      <c r="C2051" s="5">
        <v>45949.0</v>
      </c>
      <c r="D2051" s="8" t="str">
        <f>+40.561309°</f>
        <v>#ERROR!</v>
      </c>
      <c r="E2051" s="7" t="s">
        <v>3422</v>
      </c>
    </row>
    <row r="2052">
      <c r="A2052" s="3" t="s">
        <v>3412</v>
      </c>
      <c r="B2052" s="4" t="s">
        <v>3423</v>
      </c>
      <c r="C2052" s="5">
        <v>70400.0</v>
      </c>
      <c r="D2052" s="8" t="str">
        <f>+40.017682°</f>
        <v>#ERROR!</v>
      </c>
      <c r="E2052" s="7" t="s">
        <v>3424</v>
      </c>
    </row>
    <row r="2053">
      <c r="A2053" s="3" t="s">
        <v>3412</v>
      </c>
      <c r="B2053" s="4" t="s">
        <v>1150</v>
      </c>
      <c r="C2053" s="5">
        <v>44846.0</v>
      </c>
      <c r="D2053" s="8" t="str">
        <f>+38.931377°</f>
        <v>#ERROR!</v>
      </c>
      <c r="E2053" s="7" t="s">
        <v>3425</v>
      </c>
    </row>
    <row r="2054">
      <c r="A2054" s="3" t="s">
        <v>3412</v>
      </c>
      <c r="B2054" s="4" t="s">
        <v>24</v>
      </c>
      <c r="C2054" s="5">
        <v>368130.0</v>
      </c>
      <c r="D2054" s="8" t="str">
        <f>+39.439915°</f>
        <v>#ERROR!</v>
      </c>
      <c r="E2054" s="7" t="s">
        <v>3426</v>
      </c>
    </row>
    <row r="2055">
      <c r="A2055" s="3" t="s">
        <v>3412</v>
      </c>
      <c r="B2055" s="4" t="s">
        <v>287</v>
      </c>
      <c r="C2055" s="5">
        <v>28836.0</v>
      </c>
      <c r="D2055" s="8" t="str">
        <f>+40.579884°</f>
        <v>#ERROR!</v>
      </c>
      <c r="E2055" s="7" t="s">
        <v>3427</v>
      </c>
    </row>
    <row r="2056">
      <c r="A2056" s="3" t="s">
        <v>3412</v>
      </c>
      <c r="B2056" s="4" t="s">
        <v>1158</v>
      </c>
      <c r="C2056" s="5">
        <v>40097.0</v>
      </c>
      <c r="D2056" s="8" t="str">
        <f>+40.132759°</f>
        <v>#ERROR!</v>
      </c>
      <c r="E2056" s="7" t="s">
        <v>3428</v>
      </c>
    </row>
    <row r="2057">
      <c r="A2057" s="3" t="s">
        <v>3412</v>
      </c>
      <c r="B2057" s="4" t="s">
        <v>291</v>
      </c>
      <c r="C2057" s="5">
        <v>138333.0</v>
      </c>
      <c r="D2057" s="8" t="str">
        <f>+39.917032°</f>
        <v>#ERROR!</v>
      </c>
      <c r="E2057" s="7" t="s">
        <v>3429</v>
      </c>
    </row>
    <row r="2058">
      <c r="A2058" s="3" t="s">
        <v>3412</v>
      </c>
      <c r="B2058" s="4" t="s">
        <v>3430</v>
      </c>
      <c r="C2058" s="5">
        <v>197363.0</v>
      </c>
      <c r="D2058" s="8" t="str">
        <f>+39.052084°</f>
        <v>#ERROR!</v>
      </c>
      <c r="E2058" s="7" t="s">
        <v>3431</v>
      </c>
    </row>
    <row r="2059">
      <c r="A2059" s="3" t="s">
        <v>3412</v>
      </c>
      <c r="B2059" s="4" t="s">
        <v>1164</v>
      </c>
      <c r="C2059" s="5">
        <v>42040.0</v>
      </c>
      <c r="D2059" s="8" t="str">
        <f>+39.414041°</f>
        <v>#ERROR!</v>
      </c>
      <c r="E2059" s="7" t="s">
        <v>3432</v>
      </c>
    </row>
    <row r="2060">
      <c r="A2060" s="3" t="s">
        <v>3412</v>
      </c>
      <c r="B2060" s="4" t="s">
        <v>3433</v>
      </c>
      <c r="C2060" s="5">
        <v>107841.0</v>
      </c>
      <c r="D2060" s="8" t="str">
        <f>+40.768462°</f>
        <v>#ERROR!</v>
      </c>
      <c r="E2060" s="7" t="s">
        <v>3434</v>
      </c>
    </row>
    <row r="2061">
      <c r="A2061" s="3" t="s">
        <v>3412</v>
      </c>
      <c r="B2061" s="4" t="s">
        <v>3435</v>
      </c>
      <c r="C2061" s="5">
        <v>36901.0</v>
      </c>
      <c r="D2061" s="8" t="str">
        <f>+40.296720°</f>
        <v>#ERROR!</v>
      </c>
      <c r="E2061" s="7" t="s">
        <v>3436</v>
      </c>
    </row>
    <row r="2062">
      <c r="A2062" s="3" t="s">
        <v>3412</v>
      </c>
      <c r="B2062" s="4" t="s">
        <v>303</v>
      </c>
      <c r="C2062" s="5">
        <v>43784.0</v>
      </c>
      <c r="D2062" s="8" t="str">
        <f>+40.848508°</f>
        <v>#ERROR!</v>
      </c>
      <c r="E2062" s="7" t="s">
        <v>3437</v>
      </c>
    </row>
    <row r="2063">
      <c r="A2063" s="3" t="s">
        <v>3412</v>
      </c>
      <c r="B2063" s="4" t="s">
        <v>3438</v>
      </c>
      <c r="C2063" s="5">
        <v>1280122.0</v>
      </c>
      <c r="D2063" s="8" t="str">
        <f>+41.760392°</f>
        <v>#ERROR!</v>
      </c>
      <c r="E2063" s="7" t="s">
        <v>3439</v>
      </c>
    </row>
    <row r="2064">
      <c r="A2064" s="3" t="s">
        <v>3412</v>
      </c>
      <c r="B2064" s="4" t="s">
        <v>3440</v>
      </c>
      <c r="C2064" s="5">
        <v>52959.0</v>
      </c>
      <c r="D2064" s="8" t="str">
        <f>+40.132176°</f>
        <v>#ERROR!</v>
      </c>
      <c r="E2064" s="7" t="s">
        <v>3441</v>
      </c>
    </row>
    <row r="2065">
      <c r="A2065" s="3" t="s">
        <v>3412</v>
      </c>
      <c r="B2065" s="4" t="s">
        <v>3442</v>
      </c>
      <c r="C2065" s="5">
        <v>39037.0</v>
      </c>
      <c r="D2065" s="8" t="str">
        <f>+41.321679°</f>
        <v>#ERROR!</v>
      </c>
      <c r="E2065" s="7" t="s">
        <v>3443</v>
      </c>
    </row>
    <row r="2066">
      <c r="A2066" s="3" t="s">
        <v>3412</v>
      </c>
      <c r="B2066" s="4" t="s">
        <v>1323</v>
      </c>
      <c r="C2066" s="5">
        <v>174214.0</v>
      </c>
      <c r="D2066" s="8" t="str">
        <f>+40.278941°</f>
        <v>#ERROR!</v>
      </c>
      <c r="E2066" s="7" t="s">
        <v>3444</v>
      </c>
    </row>
    <row r="2067">
      <c r="A2067" s="3" t="s">
        <v>3412</v>
      </c>
      <c r="B2067" s="4" t="s">
        <v>3091</v>
      </c>
      <c r="C2067" s="5">
        <v>77079.0</v>
      </c>
      <c r="D2067" s="8" t="str">
        <f>+41.554006°</f>
        <v>#ERROR!</v>
      </c>
      <c r="E2067" s="7" t="s">
        <v>3445</v>
      </c>
    </row>
    <row r="2068">
      <c r="A2068" s="3" t="s">
        <v>3412</v>
      </c>
      <c r="B2068" s="4" t="s">
        <v>3446</v>
      </c>
      <c r="C2068" s="5">
        <v>146156.0</v>
      </c>
      <c r="D2068" s="8" t="str">
        <f>+39.752935°</f>
        <v>#ERROR!</v>
      </c>
      <c r="E2068" s="7" t="s">
        <v>3447</v>
      </c>
    </row>
    <row r="2069">
      <c r="A2069" s="3" t="s">
        <v>3412</v>
      </c>
      <c r="B2069" s="4" t="s">
        <v>87</v>
      </c>
      <c r="C2069" s="5">
        <v>29030.0</v>
      </c>
      <c r="D2069" s="8" t="str">
        <f>+39.553845°</f>
        <v>#ERROR!</v>
      </c>
      <c r="E2069" s="7" t="s">
        <v>3448</v>
      </c>
    </row>
    <row r="2070">
      <c r="A2070" s="3" t="s">
        <v>3412</v>
      </c>
      <c r="B2070" s="4" t="s">
        <v>90</v>
      </c>
      <c r="C2070" s="5">
        <v>1163414.0</v>
      </c>
      <c r="D2070" s="8" t="str">
        <f>+39.969447°</f>
        <v>#ERROR!</v>
      </c>
      <c r="E2070" s="7" t="s">
        <v>3449</v>
      </c>
    </row>
    <row r="2071">
      <c r="A2071" s="3" t="s">
        <v>3412</v>
      </c>
      <c r="B2071" s="4" t="s">
        <v>317</v>
      </c>
      <c r="C2071" s="5">
        <v>42698.0</v>
      </c>
      <c r="D2071" s="8" t="str">
        <f>+41.597264°</f>
        <v>#ERROR!</v>
      </c>
      <c r="E2071" s="7" t="s">
        <v>3450</v>
      </c>
    </row>
    <row r="2072">
      <c r="A2072" s="3" t="s">
        <v>3412</v>
      </c>
      <c r="B2072" s="4" t="s">
        <v>3451</v>
      </c>
      <c r="C2072" s="5">
        <v>30934.0</v>
      </c>
      <c r="D2072" s="8" t="str">
        <f>+38.817046°</f>
        <v>#ERROR!</v>
      </c>
      <c r="E2072" s="7" t="s">
        <v>3452</v>
      </c>
    </row>
    <row r="2073">
      <c r="A2073" s="3" t="s">
        <v>3412</v>
      </c>
      <c r="B2073" s="4" t="s">
        <v>3453</v>
      </c>
      <c r="C2073" s="5">
        <v>93389.0</v>
      </c>
      <c r="D2073" s="8" t="str">
        <f>+41.499322°</f>
        <v>#ERROR!</v>
      </c>
      <c r="E2073" s="7" t="s">
        <v>3454</v>
      </c>
    </row>
    <row r="2074">
      <c r="A2074" s="3" t="s">
        <v>3412</v>
      </c>
      <c r="B2074" s="4" t="s">
        <v>96</v>
      </c>
      <c r="C2074" s="5">
        <v>161573.0</v>
      </c>
      <c r="D2074" s="8" t="str">
        <f>+39.687479°</f>
        <v>#ERROR!</v>
      </c>
      <c r="E2074" s="7" t="s">
        <v>3455</v>
      </c>
    </row>
    <row r="2075">
      <c r="A2075" s="3" t="s">
        <v>3412</v>
      </c>
      <c r="B2075" s="4" t="s">
        <v>3456</v>
      </c>
      <c r="C2075" s="5">
        <v>40087.0</v>
      </c>
      <c r="D2075" s="8" t="str">
        <f>+40.056665°</f>
        <v>#ERROR!</v>
      </c>
      <c r="E2075" s="7" t="s">
        <v>3457</v>
      </c>
    </row>
    <row r="2076">
      <c r="A2076" s="3" t="s">
        <v>3412</v>
      </c>
      <c r="B2076" s="4" t="s">
        <v>708</v>
      </c>
      <c r="C2076" s="5">
        <v>802374.0</v>
      </c>
      <c r="D2076" s="8" t="str">
        <f>+39.196927°</f>
        <v>#ERROR!</v>
      </c>
      <c r="E2076" s="7" t="s">
        <v>3458</v>
      </c>
    </row>
    <row r="2077">
      <c r="A2077" s="3" t="s">
        <v>3412</v>
      </c>
      <c r="B2077" s="4" t="s">
        <v>907</v>
      </c>
      <c r="C2077" s="5">
        <v>74782.0</v>
      </c>
      <c r="D2077" s="8" t="str">
        <f>+41.000471°</f>
        <v>#ERROR!</v>
      </c>
      <c r="E2077" s="7" t="s">
        <v>3459</v>
      </c>
    </row>
    <row r="2078">
      <c r="A2078" s="3" t="s">
        <v>3412</v>
      </c>
      <c r="B2078" s="4" t="s">
        <v>1195</v>
      </c>
      <c r="C2078" s="5">
        <v>32058.0</v>
      </c>
      <c r="D2078" s="8" t="str">
        <f>+40.660415°</f>
        <v>#ERROR!</v>
      </c>
      <c r="E2078" s="7" t="s">
        <v>3460</v>
      </c>
    </row>
    <row r="2079">
      <c r="A2079" s="3" t="s">
        <v>3412</v>
      </c>
      <c r="B2079" s="4" t="s">
        <v>1341</v>
      </c>
      <c r="C2079" s="5">
        <v>15864.0</v>
      </c>
      <c r="D2079" s="8" t="str">
        <f>+40.292318°</f>
        <v>#ERROR!</v>
      </c>
      <c r="E2079" s="7" t="s">
        <v>3461</v>
      </c>
    </row>
    <row r="2080">
      <c r="A2080" s="3" t="s">
        <v>3412</v>
      </c>
      <c r="B2080" s="4" t="s">
        <v>102</v>
      </c>
      <c r="C2080" s="5">
        <v>28215.0</v>
      </c>
      <c r="D2080" s="8" t="str">
        <f>+41.335072°</f>
        <v>#ERROR!</v>
      </c>
      <c r="E2080" s="7" t="s">
        <v>3462</v>
      </c>
    </row>
    <row r="2081">
      <c r="A2081" s="3" t="s">
        <v>3412</v>
      </c>
      <c r="B2081" s="4" t="s">
        <v>3463</v>
      </c>
      <c r="C2081" s="5">
        <v>43589.0</v>
      </c>
      <c r="D2081" s="8" t="str">
        <f>+39.184488°</f>
        <v>#ERROR!</v>
      </c>
      <c r="E2081" s="7" t="s">
        <v>3464</v>
      </c>
    </row>
    <row r="2082">
      <c r="A2082" s="3" t="s">
        <v>3412</v>
      </c>
      <c r="B2082" s="4" t="s">
        <v>3465</v>
      </c>
      <c r="C2082" s="5">
        <v>29380.0</v>
      </c>
      <c r="D2082" s="8" t="str">
        <f>+39.490343°</f>
        <v>#ERROR!</v>
      </c>
      <c r="E2082" s="7" t="s">
        <v>3466</v>
      </c>
    </row>
    <row r="2083">
      <c r="A2083" s="3" t="s">
        <v>3412</v>
      </c>
      <c r="B2083" s="4" t="s">
        <v>720</v>
      </c>
      <c r="C2083" s="5">
        <v>42366.0</v>
      </c>
      <c r="D2083" s="8" t="str">
        <f>+40.565309°</f>
        <v>#ERROR!</v>
      </c>
      <c r="E2083" s="7" t="s">
        <v>3467</v>
      </c>
    </row>
    <row r="2084">
      <c r="A2084" s="3" t="s">
        <v>3412</v>
      </c>
      <c r="B2084" s="4" t="s">
        <v>2189</v>
      </c>
      <c r="C2084" s="5">
        <v>59626.0</v>
      </c>
      <c r="D2084" s="8" t="str">
        <f>+41.145080°</f>
        <v>#ERROR!</v>
      </c>
      <c r="E2084" s="7" t="s">
        <v>3468</v>
      </c>
    </row>
    <row r="2085">
      <c r="A2085" s="3" t="s">
        <v>3412</v>
      </c>
      <c r="B2085" s="4" t="s">
        <v>108</v>
      </c>
      <c r="C2085" s="5">
        <v>33225.0</v>
      </c>
      <c r="D2085" s="8" t="str">
        <f>+39.013477°</f>
        <v>#ERROR!</v>
      </c>
      <c r="E2085" s="7" t="s">
        <v>3469</v>
      </c>
    </row>
    <row r="2086">
      <c r="A2086" s="3" t="s">
        <v>3412</v>
      </c>
      <c r="B2086" s="4" t="s">
        <v>111</v>
      </c>
      <c r="C2086" s="5">
        <v>69709.0</v>
      </c>
      <c r="D2086" s="8" t="str">
        <f>+40.399188°</f>
        <v>#ERROR!</v>
      </c>
      <c r="E2086" s="7" t="s">
        <v>3470</v>
      </c>
    </row>
    <row r="2087">
      <c r="A2087" s="3" t="s">
        <v>3412</v>
      </c>
      <c r="B2087" s="4" t="s">
        <v>1216</v>
      </c>
      <c r="C2087" s="5">
        <v>60921.0</v>
      </c>
      <c r="D2087" s="8" t="str">
        <f>+40.403620°</f>
        <v>#ERROR!</v>
      </c>
      <c r="E2087" s="7" t="s">
        <v>3471</v>
      </c>
    </row>
    <row r="2088">
      <c r="A2088" s="3" t="s">
        <v>3412</v>
      </c>
      <c r="B2088" s="4" t="s">
        <v>439</v>
      </c>
      <c r="C2088" s="5">
        <v>230041.0</v>
      </c>
      <c r="D2088" s="8" t="str">
        <f>+41.924116°</f>
        <v>#ERROR!</v>
      </c>
      <c r="E2088" s="7" t="s">
        <v>3472</v>
      </c>
    </row>
    <row r="2089">
      <c r="A2089" s="3" t="s">
        <v>3412</v>
      </c>
      <c r="B2089" s="4" t="s">
        <v>120</v>
      </c>
      <c r="C2089" s="5">
        <v>62450.0</v>
      </c>
      <c r="D2089" s="8" t="str">
        <f>+38.603866°</f>
        <v>#ERROR!</v>
      </c>
      <c r="E2089" s="7" t="s">
        <v>3473</v>
      </c>
    </row>
    <row r="2090">
      <c r="A2090" s="3" t="s">
        <v>3412</v>
      </c>
      <c r="B2090" s="4" t="s">
        <v>3474</v>
      </c>
      <c r="C2090" s="5">
        <v>166492.0</v>
      </c>
      <c r="D2090" s="8" t="str">
        <f>+40.093609°</f>
        <v>#ERROR!</v>
      </c>
      <c r="E2090" s="7" t="s">
        <v>3475</v>
      </c>
    </row>
    <row r="2091">
      <c r="A2091" s="3" t="s">
        <v>3412</v>
      </c>
      <c r="B2091" s="4" t="s">
        <v>346</v>
      </c>
      <c r="C2091" s="5">
        <v>45858.0</v>
      </c>
      <c r="D2091" s="8" t="str">
        <f>+40.387553°</f>
        <v>#ERROR!</v>
      </c>
      <c r="E2091" s="7" t="s">
        <v>3476</v>
      </c>
    </row>
    <row r="2092">
      <c r="A2092" s="3" t="s">
        <v>3412</v>
      </c>
      <c r="B2092" s="4" t="s">
        <v>3477</v>
      </c>
      <c r="C2092" s="5">
        <v>301356.0</v>
      </c>
      <c r="D2092" s="8" t="str">
        <f>+41.438805°</f>
        <v>#ERROR!</v>
      </c>
      <c r="E2092" s="7" t="s">
        <v>3478</v>
      </c>
    </row>
    <row r="2093">
      <c r="A2093" s="3" t="s">
        <v>3412</v>
      </c>
      <c r="B2093" s="4" t="s">
        <v>1516</v>
      </c>
      <c r="C2093" s="5">
        <v>441815.0</v>
      </c>
      <c r="D2093" s="8" t="str">
        <f>+41.682321°</f>
        <v>#ERROR!</v>
      </c>
      <c r="E2093" s="7" t="s">
        <v>3479</v>
      </c>
    </row>
    <row r="2094">
      <c r="A2094" s="3" t="s">
        <v>3412</v>
      </c>
      <c r="B2094" s="4" t="s">
        <v>135</v>
      </c>
      <c r="C2094" s="5">
        <v>43435.0</v>
      </c>
      <c r="D2094" s="8" t="str">
        <f>+39.896607°</f>
        <v>#ERROR!</v>
      </c>
      <c r="E2094" s="7" t="s">
        <v>3480</v>
      </c>
    </row>
    <row r="2095">
      <c r="A2095" s="3" t="s">
        <v>3412</v>
      </c>
      <c r="B2095" s="4" t="s">
        <v>3481</v>
      </c>
      <c r="C2095" s="5">
        <v>238823.0</v>
      </c>
      <c r="D2095" s="8" t="str">
        <f>+41.010880°</f>
        <v>#ERROR!</v>
      </c>
      <c r="E2095" s="7" t="s">
        <v>3482</v>
      </c>
    </row>
    <row r="2096">
      <c r="A2096" s="3" t="s">
        <v>3412</v>
      </c>
      <c r="B2096" s="4" t="s">
        <v>141</v>
      </c>
      <c r="C2096" s="5">
        <v>66501.0</v>
      </c>
      <c r="D2096" s="8" t="str">
        <f>+40.588208°</f>
        <v>#ERROR!</v>
      </c>
      <c r="E2096" s="7" t="s">
        <v>3483</v>
      </c>
    </row>
    <row r="2097">
      <c r="A2097" s="3" t="s">
        <v>3412</v>
      </c>
      <c r="B2097" s="4" t="s">
        <v>3484</v>
      </c>
      <c r="C2097" s="5">
        <v>172332.0</v>
      </c>
      <c r="D2097" s="8" t="str">
        <f>+41.116051°</f>
        <v>#ERROR!</v>
      </c>
      <c r="E2097" s="7" t="s">
        <v>3485</v>
      </c>
    </row>
    <row r="2098">
      <c r="A2098" s="3" t="s">
        <v>3412</v>
      </c>
      <c r="B2098" s="4" t="s">
        <v>3486</v>
      </c>
      <c r="C2098" s="5">
        <v>23770.0</v>
      </c>
      <c r="D2098" s="8" t="str">
        <f>+39.089807°</f>
        <v>#ERROR!</v>
      </c>
      <c r="E2098" s="7" t="s">
        <v>3487</v>
      </c>
    </row>
    <row r="2099">
      <c r="A2099" s="3" t="s">
        <v>3412</v>
      </c>
      <c r="B2099" s="4" t="s">
        <v>1244</v>
      </c>
      <c r="C2099" s="5">
        <v>40814.0</v>
      </c>
      <c r="D2099" s="8" t="str">
        <f>+40.535333°</f>
        <v>#ERROR!</v>
      </c>
      <c r="E2099" s="7" t="s">
        <v>3488</v>
      </c>
    </row>
    <row r="2100">
      <c r="A2100" s="3" t="s">
        <v>3412</v>
      </c>
      <c r="B2100" s="4" t="s">
        <v>1370</v>
      </c>
      <c r="C2100" s="5">
        <v>102506.0</v>
      </c>
      <c r="D2100" s="8" t="str">
        <f>+40.053326°</f>
        <v>#ERROR!</v>
      </c>
      <c r="E2100" s="7" t="s">
        <v>3489</v>
      </c>
    </row>
    <row r="2101">
      <c r="A2101" s="3" t="s">
        <v>3412</v>
      </c>
      <c r="B2101" s="4" t="s">
        <v>147</v>
      </c>
      <c r="C2101" s="5">
        <v>14642.0</v>
      </c>
      <c r="D2101" s="8" t="str">
        <f>+39.725969°</f>
        <v>#ERROR!</v>
      </c>
      <c r="E2101" s="7" t="s">
        <v>3490</v>
      </c>
    </row>
    <row r="2102">
      <c r="A2102" s="3" t="s">
        <v>3412</v>
      </c>
      <c r="B2102" s="4" t="s">
        <v>149</v>
      </c>
      <c r="C2102" s="5">
        <v>535153.0</v>
      </c>
      <c r="D2102" s="8" t="str">
        <f>+39.755218°</f>
        <v>#ERROR!</v>
      </c>
      <c r="E2102" s="7" t="s">
        <v>3491</v>
      </c>
    </row>
    <row r="2103">
      <c r="A2103" s="3" t="s">
        <v>3412</v>
      </c>
      <c r="B2103" s="4" t="s">
        <v>151</v>
      </c>
      <c r="C2103" s="5">
        <v>15054.0</v>
      </c>
      <c r="D2103" s="8" t="str">
        <f>+39.624946°</f>
        <v>#ERROR!</v>
      </c>
      <c r="E2103" s="7" t="s">
        <v>3492</v>
      </c>
    </row>
    <row r="2104">
      <c r="A2104" s="3" t="s">
        <v>3412</v>
      </c>
      <c r="B2104" s="4" t="s">
        <v>3493</v>
      </c>
      <c r="C2104" s="5">
        <v>34827.0</v>
      </c>
      <c r="D2104" s="8" t="str">
        <f>+40.525266°</f>
        <v>#ERROR!</v>
      </c>
      <c r="E2104" s="7" t="s">
        <v>3494</v>
      </c>
    </row>
    <row r="2105">
      <c r="A2105" s="3" t="s">
        <v>3412</v>
      </c>
      <c r="B2105" s="4" t="s">
        <v>3495</v>
      </c>
      <c r="C2105" s="5">
        <v>86074.0</v>
      </c>
      <c r="D2105" s="8" t="str">
        <f>+39.966046°</f>
        <v>#ERROR!</v>
      </c>
      <c r="E2105" s="7" t="s">
        <v>3496</v>
      </c>
    </row>
    <row r="2106">
      <c r="A2106" s="3" t="s">
        <v>3412</v>
      </c>
      <c r="B2106" s="4" t="s">
        <v>1376</v>
      </c>
      <c r="C2106" s="5">
        <v>14645.0</v>
      </c>
      <c r="D2106" s="8" t="str">
        <f>+39.767232°</f>
        <v>#ERROR!</v>
      </c>
      <c r="E2106" s="7" t="s">
        <v>3497</v>
      </c>
    </row>
    <row r="2107">
      <c r="A2107" s="3" t="s">
        <v>3412</v>
      </c>
      <c r="B2107" s="4" t="s">
        <v>1692</v>
      </c>
      <c r="C2107" s="5">
        <v>41428.0</v>
      </c>
      <c r="D2107" s="8" t="str">
        <f>+41.544467°</f>
        <v>#ERROR!</v>
      </c>
      <c r="E2107" s="7" t="s">
        <v>3498</v>
      </c>
    </row>
    <row r="2108">
      <c r="A2108" s="3" t="s">
        <v>3412</v>
      </c>
      <c r="B2108" s="4" t="s">
        <v>969</v>
      </c>
      <c r="C2108" s="5">
        <v>19614.0</v>
      </c>
      <c r="D2108" s="8" t="str">
        <f>+41.119141°</f>
        <v>#ERROR!</v>
      </c>
      <c r="E2108" s="7" t="s">
        <v>3499</v>
      </c>
    </row>
    <row r="2109">
      <c r="A2109" s="3" t="s">
        <v>3412</v>
      </c>
      <c r="B2109" s="4" t="s">
        <v>153</v>
      </c>
      <c r="C2109" s="5">
        <v>36058.0</v>
      </c>
      <c r="D2109" s="8" t="str">
        <f>+39.743187°</f>
        <v>#ERROR!</v>
      </c>
      <c r="E2109" s="7" t="s">
        <v>3500</v>
      </c>
    </row>
    <row r="2110">
      <c r="A2110" s="3" t="s">
        <v>3412</v>
      </c>
      <c r="B2110" s="4" t="s">
        <v>3501</v>
      </c>
      <c r="C2110" s="5">
        <v>55698.0</v>
      </c>
      <c r="D2110" s="8" t="str">
        <f>+39.648947°</f>
        <v>#ERROR!</v>
      </c>
      <c r="E2110" s="7" t="s">
        <v>3502</v>
      </c>
    </row>
    <row r="2111">
      <c r="A2111" s="3" t="s">
        <v>3412</v>
      </c>
      <c r="B2111" s="4" t="s">
        <v>157</v>
      </c>
      <c r="C2111" s="5">
        <v>28709.0</v>
      </c>
      <c r="D2111" s="8" t="str">
        <f>+39.071365°</f>
        <v>#ERROR!</v>
      </c>
      <c r="E2111" s="7" t="s">
        <v>3503</v>
      </c>
    </row>
    <row r="2112">
      <c r="A2112" s="3" t="s">
        <v>3412</v>
      </c>
      <c r="B2112" s="4" t="s">
        <v>3504</v>
      </c>
      <c r="C2112" s="5">
        <v>161419.0</v>
      </c>
      <c r="D2112" s="8" t="str">
        <f>+41.168640°</f>
        <v>#ERROR!</v>
      </c>
      <c r="E2112" s="7" t="s">
        <v>3505</v>
      </c>
    </row>
    <row r="2113">
      <c r="A2113" s="3" t="s">
        <v>3412</v>
      </c>
      <c r="B2113" s="4" t="s">
        <v>3506</v>
      </c>
      <c r="C2113" s="5">
        <v>42270.0</v>
      </c>
      <c r="D2113" s="8" t="str">
        <f>+39.737906°</f>
        <v>#ERROR!</v>
      </c>
      <c r="E2113" s="7" t="s">
        <v>3507</v>
      </c>
    </row>
    <row r="2114">
      <c r="A2114" s="3" t="s">
        <v>3412</v>
      </c>
      <c r="B2114" s="4" t="s">
        <v>760</v>
      </c>
      <c r="C2114" s="5">
        <v>34499.0</v>
      </c>
      <c r="D2114" s="8" t="str">
        <f>+41.024533°</f>
        <v>#ERROR!</v>
      </c>
      <c r="E2114" s="7" t="s">
        <v>3508</v>
      </c>
    </row>
    <row r="2115">
      <c r="A2115" s="3" t="s">
        <v>3412</v>
      </c>
      <c r="B2115" s="4" t="s">
        <v>1263</v>
      </c>
      <c r="C2115" s="5">
        <v>124475.0</v>
      </c>
      <c r="D2115" s="8" t="str">
        <f>+40.774167°</f>
        <v>#ERROR!</v>
      </c>
      <c r="E2115" s="7" t="s">
        <v>3509</v>
      </c>
    </row>
    <row r="2116">
      <c r="A2116" s="3" t="s">
        <v>3412</v>
      </c>
      <c r="B2116" s="4" t="s">
        <v>3510</v>
      </c>
      <c r="C2116" s="5">
        <v>78064.0</v>
      </c>
      <c r="D2116" s="8" t="str">
        <f>+39.323763°</f>
        <v>#ERROR!</v>
      </c>
      <c r="E2116" s="7" t="s">
        <v>3511</v>
      </c>
    </row>
    <row r="2117">
      <c r="A2117" s="3" t="s">
        <v>3412</v>
      </c>
      <c r="B2117" s="4" t="s">
        <v>3512</v>
      </c>
      <c r="C2117" s="5">
        <v>60944.0</v>
      </c>
      <c r="D2117" s="8" t="str">
        <f>+41.355291°</f>
        <v>#ERROR!</v>
      </c>
      <c r="E2117" s="7" t="s">
        <v>3513</v>
      </c>
    </row>
    <row r="2118">
      <c r="A2118" s="3" t="s">
        <v>3412</v>
      </c>
      <c r="B2118" s="4" t="s">
        <v>3514</v>
      </c>
      <c r="C2118" s="5">
        <v>79499.0</v>
      </c>
      <c r="D2118" s="8" t="str">
        <f>+38.815019°</f>
        <v>#ERROR!</v>
      </c>
      <c r="E2118" s="7" t="s">
        <v>3515</v>
      </c>
    </row>
    <row r="2119">
      <c r="A2119" s="3" t="s">
        <v>3412</v>
      </c>
      <c r="B2119" s="4" t="s">
        <v>3142</v>
      </c>
      <c r="C2119" s="5">
        <v>56745.0</v>
      </c>
      <c r="D2119" s="8" t="str">
        <f>+41.120008°</f>
        <v>#ERROR!</v>
      </c>
      <c r="E2119" s="7" t="s">
        <v>3516</v>
      </c>
    </row>
    <row r="2120">
      <c r="A2120" s="3" t="s">
        <v>3412</v>
      </c>
      <c r="B2120" s="4" t="s">
        <v>165</v>
      </c>
      <c r="C2120" s="5">
        <v>49423.0</v>
      </c>
      <c r="D2120" s="8" t="str">
        <f>+40.336680°</f>
        <v>#ERROR!</v>
      </c>
      <c r="E2120" s="7" t="s">
        <v>3517</v>
      </c>
    </row>
    <row r="2121">
      <c r="A2121" s="3" t="s">
        <v>3412</v>
      </c>
      <c r="B2121" s="4" t="s">
        <v>1275</v>
      </c>
      <c r="C2121" s="5">
        <v>375586.0</v>
      </c>
      <c r="D2121" s="8" t="str">
        <f>+40.814131°</f>
        <v>#ERROR!</v>
      </c>
      <c r="E2121" s="7" t="s">
        <v>3518</v>
      </c>
    </row>
    <row r="2122">
      <c r="A2122" s="3" t="s">
        <v>3412</v>
      </c>
      <c r="B2122" s="4" t="s">
        <v>633</v>
      </c>
      <c r="C2122" s="5">
        <v>541781.0</v>
      </c>
      <c r="D2122" s="8" t="str">
        <f>+41.121851°</f>
        <v>#ERROR!</v>
      </c>
      <c r="E2122" s="7" t="s">
        <v>3519</v>
      </c>
    </row>
    <row r="2123">
      <c r="A2123" s="3" t="s">
        <v>3412</v>
      </c>
      <c r="B2123" s="4" t="s">
        <v>3520</v>
      </c>
      <c r="C2123" s="5">
        <v>210312.0</v>
      </c>
      <c r="D2123" s="8" t="str">
        <f>+41.308936°</f>
        <v>#ERROR!</v>
      </c>
      <c r="E2123" s="7" t="s">
        <v>3521</v>
      </c>
    </row>
    <row r="2124">
      <c r="A2124" s="3" t="s">
        <v>3412</v>
      </c>
      <c r="B2124" s="4" t="s">
        <v>3522</v>
      </c>
      <c r="C2124" s="5">
        <v>92582.0</v>
      </c>
      <c r="D2124" s="8" t="str">
        <f>+40.447441°</f>
        <v>#ERROR!</v>
      </c>
      <c r="E2124" s="7" t="s">
        <v>3523</v>
      </c>
    </row>
    <row r="2125">
      <c r="A2125" s="3" t="s">
        <v>3412</v>
      </c>
      <c r="B2125" s="4" t="s">
        <v>395</v>
      </c>
      <c r="C2125" s="5">
        <v>52300.0</v>
      </c>
      <c r="D2125" s="8" t="str">
        <f>+40.295901°</f>
        <v>#ERROR!</v>
      </c>
      <c r="E2125" s="7" t="s">
        <v>3524</v>
      </c>
    </row>
    <row r="2126">
      <c r="A2126" s="3" t="s">
        <v>3412</v>
      </c>
      <c r="B2126" s="4" t="s">
        <v>3525</v>
      </c>
      <c r="C2126" s="5">
        <v>28744.0</v>
      </c>
      <c r="D2126" s="8" t="str">
        <f>+40.855520°</f>
        <v>#ERROR!</v>
      </c>
      <c r="E2126" s="7" t="s">
        <v>3526</v>
      </c>
    </row>
    <row r="2127">
      <c r="A2127" s="3" t="s">
        <v>3412</v>
      </c>
      <c r="B2127" s="4" t="s">
        <v>3527</v>
      </c>
      <c r="C2127" s="5">
        <v>13435.0</v>
      </c>
      <c r="D2127" s="8" t="str">
        <f>+39.252014°</f>
        <v>#ERROR!</v>
      </c>
      <c r="E2127" s="7" t="s">
        <v>3528</v>
      </c>
    </row>
    <row r="2128">
      <c r="A2128" s="3" t="s">
        <v>3412</v>
      </c>
      <c r="B2128" s="4" t="s">
        <v>1035</v>
      </c>
      <c r="C2128" s="5">
        <v>212693.0</v>
      </c>
      <c r="D2128" s="8" t="str">
        <f>+39.425652°</f>
        <v>#ERROR!</v>
      </c>
      <c r="E2128" s="7" t="s">
        <v>3529</v>
      </c>
    </row>
    <row r="2129">
      <c r="A2129" s="3" t="s">
        <v>3412</v>
      </c>
      <c r="B2129" s="4" t="s">
        <v>177</v>
      </c>
      <c r="C2129" s="5">
        <v>61778.0</v>
      </c>
      <c r="D2129" s="8" t="str">
        <f>+39.450684°</f>
        <v>#ERROR!</v>
      </c>
      <c r="E2129" s="7" t="s">
        <v>3530</v>
      </c>
    </row>
    <row r="2130">
      <c r="A2130" s="3" t="s">
        <v>3412</v>
      </c>
      <c r="B2130" s="4" t="s">
        <v>1038</v>
      </c>
      <c r="C2130" s="5">
        <v>114520.0</v>
      </c>
      <c r="D2130" s="8" t="str">
        <f>+40.829661°</f>
        <v>#ERROR!</v>
      </c>
      <c r="E2130" s="7" t="s">
        <v>3531</v>
      </c>
    </row>
    <row r="2131">
      <c r="A2131" s="3" t="s">
        <v>3412</v>
      </c>
      <c r="B2131" s="4" t="s">
        <v>3410</v>
      </c>
      <c r="C2131" s="5">
        <v>37642.0</v>
      </c>
      <c r="D2131" s="8" t="str">
        <f>+41.564958°</f>
        <v>#ERROR!</v>
      </c>
      <c r="E2131" s="7" t="s">
        <v>3532</v>
      </c>
    </row>
    <row r="2132">
      <c r="A2132" s="3" t="s">
        <v>3412</v>
      </c>
      <c r="B2132" s="4" t="s">
        <v>3533</v>
      </c>
      <c r="C2132" s="5">
        <v>125488.0</v>
      </c>
      <c r="D2132" s="8" t="str">
        <f>+41.360183°</f>
        <v>#ERROR!</v>
      </c>
      <c r="E2132" s="7" t="s">
        <v>3534</v>
      </c>
    </row>
    <row r="2133">
      <c r="A2133" s="3" t="s">
        <v>3412</v>
      </c>
      <c r="B2133" s="4" t="s">
        <v>3535</v>
      </c>
      <c r="C2133" s="5">
        <v>22615.0</v>
      </c>
      <c r="D2133" s="8" t="str">
        <f>+40.840122°</f>
        <v>#ERROR!</v>
      </c>
      <c r="E2133" s="7" t="s">
        <v>3536</v>
      </c>
    </row>
    <row r="2134">
      <c r="A2134" s="3" t="s">
        <v>3537</v>
      </c>
      <c r="B2134" s="4" t="s">
        <v>1435</v>
      </c>
      <c r="C2134" s="5">
        <v>22683.0</v>
      </c>
      <c r="D2134" s="8" t="str">
        <f>+35.897500°</f>
        <v>#ERROR!</v>
      </c>
      <c r="E2134" s="7" t="s">
        <v>3538</v>
      </c>
    </row>
    <row r="2135">
      <c r="A2135" s="3" t="s">
        <v>3537</v>
      </c>
      <c r="B2135" s="4" t="s">
        <v>3539</v>
      </c>
      <c r="C2135" s="5">
        <v>5642.0</v>
      </c>
      <c r="D2135" s="8" t="str">
        <f>+36.729703°</f>
        <v>#ERROR!</v>
      </c>
      <c r="E2135" s="7" t="s">
        <v>3540</v>
      </c>
    </row>
    <row r="2136">
      <c r="A2136" s="3" t="s">
        <v>3537</v>
      </c>
      <c r="B2136" s="4" t="s">
        <v>3541</v>
      </c>
      <c r="C2136" s="5">
        <v>14182.0</v>
      </c>
      <c r="D2136" s="8" t="str">
        <f>+34.374813°</f>
        <v>#ERROR!</v>
      </c>
      <c r="E2136" s="7" t="s">
        <v>3542</v>
      </c>
    </row>
    <row r="2137">
      <c r="A2137" s="3" t="s">
        <v>3537</v>
      </c>
      <c r="B2137" s="4" t="s">
        <v>3543</v>
      </c>
      <c r="C2137" s="5">
        <v>5636.0</v>
      </c>
      <c r="D2137" s="8" t="str">
        <f>+36.748334°</f>
        <v>#ERROR!</v>
      </c>
      <c r="E2137" s="7" t="s">
        <v>3544</v>
      </c>
    </row>
    <row r="2138">
      <c r="A2138" s="3" t="s">
        <v>3537</v>
      </c>
      <c r="B2138" s="4" t="s">
        <v>3545</v>
      </c>
      <c r="C2138" s="5">
        <v>22119.0</v>
      </c>
      <c r="D2138" s="8" t="str">
        <f>+35.273945°</f>
        <v>#ERROR!</v>
      </c>
      <c r="E2138" s="7" t="s">
        <v>3546</v>
      </c>
    </row>
    <row r="2139">
      <c r="A2139" s="3" t="s">
        <v>3537</v>
      </c>
      <c r="B2139" s="4" t="s">
        <v>1077</v>
      </c>
      <c r="C2139" s="5">
        <v>11943.0</v>
      </c>
      <c r="D2139" s="8" t="str">
        <f>+35.877782°</f>
        <v>#ERROR!</v>
      </c>
      <c r="E2139" s="7" t="s">
        <v>3547</v>
      </c>
    </row>
    <row r="2140">
      <c r="A2140" s="3" t="s">
        <v>3537</v>
      </c>
      <c r="B2140" s="4" t="s">
        <v>811</v>
      </c>
      <c r="C2140" s="5">
        <v>42416.0</v>
      </c>
      <c r="D2140" s="8" t="str">
        <f>+33.964004°</f>
        <v>#ERROR!</v>
      </c>
      <c r="E2140" s="7" t="s">
        <v>3548</v>
      </c>
    </row>
    <row r="2141">
      <c r="A2141" s="3" t="s">
        <v>3537</v>
      </c>
      <c r="B2141" s="4" t="s">
        <v>1944</v>
      </c>
      <c r="C2141" s="5">
        <v>29600.0</v>
      </c>
      <c r="D2141" s="8" t="str">
        <f>+35.167920°</f>
        <v>#ERROR!</v>
      </c>
      <c r="E2141" s="7" t="s">
        <v>3549</v>
      </c>
    </row>
    <row r="2142">
      <c r="A2142" s="3" t="s">
        <v>3537</v>
      </c>
      <c r="B2142" s="4" t="s">
        <v>3550</v>
      </c>
      <c r="C2142" s="5">
        <v>115541.0</v>
      </c>
      <c r="D2142" s="8" t="str">
        <f>+35.543416°</f>
        <v>#ERROR!</v>
      </c>
      <c r="E2142" s="7" t="s">
        <v>3551</v>
      </c>
    </row>
    <row r="2143">
      <c r="A2143" s="3" t="s">
        <v>3537</v>
      </c>
      <c r="B2143" s="4" t="s">
        <v>1788</v>
      </c>
      <c r="C2143" s="5">
        <v>47557.0</v>
      </c>
      <c r="D2143" s="8" t="str">
        <f>+34.251848°</f>
        <v>#ERROR!</v>
      </c>
      <c r="E2143" s="7" t="s">
        <v>3552</v>
      </c>
    </row>
    <row r="2144">
      <c r="A2144" s="3" t="s">
        <v>3537</v>
      </c>
      <c r="B2144" s="4" t="s">
        <v>835</v>
      </c>
      <c r="C2144" s="5">
        <v>46987.0</v>
      </c>
      <c r="D2144" s="8" t="str">
        <f>+35.904367°</f>
        <v>#ERROR!</v>
      </c>
      <c r="E2144" s="7" t="s">
        <v>3553</v>
      </c>
    </row>
    <row r="2145">
      <c r="A2145" s="3" t="s">
        <v>3537</v>
      </c>
      <c r="B2145" s="4" t="s">
        <v>36</v>
      </c>
      <c r="C2145" s="5">
        <v>15205.0</v>
      </c>
      <c r="D2145" s="8" t="str">
        <f>+34.027645°</f>
        <v>#ERROR!</v>
      </c>
      <c r="E2145" s="7" t="s">
        <v>3554</v>
      </c>
    </row>
    <row r="2146">
      <c r="A2146" s="3" t="s">
        <v>3537</v>
      </c>
      <c r="B2146" s="4" t="s">
        <v>3555</v>
      </c>
      <c r="C2146" s="5">
        <v>2475.0</v>
      </c>
      <c r="D2146" s="8" t="str">
        <f>+36.755276°</f>
        <v>#ERROR!</v>
      </c>
      <c r="E2146" s="7" t="s">
        <v>3556</v>
      </c>
    </row>
    <row r="2147">
      <c r="A2147" s="3" t="s">
        <v>3537</v>
      </c>
      <c r="B2147" s="4" t="s">
        <v>295</v>
      </c>
      <c r="C2147" s="5">
        <v>255755.0</v>
      </c>
      <c r="D2147" s="8" t="str">
        <f>+35.203117°</f>
        <v>#ERROR!</v>
      </c>
      <c r="E2147" s="7" t="s">
        <v>3557</v>
      </c>
    </row>
    <row r="2148">
      <c r="A2148" s="3" t="s">
        <v>3537</v>
      </c>
      <c r="B2148" s="4" t="s">
        <v>3558</v>
      </c>
      <c r="C2148" s="5">
        <v>5925.0</v>
      </c>
      <c r="D2148" s="8" t="str">
        <f>+34.582861°</f>
        <v>#ERROR!</v>
      </c>
      <c r="E2148" s="7" t="s">
        <v>3559</v>
      </c>
    </row>
    <row r="2149">
      <c r="A2149" s="3" t="s">
        <v>3537</v>
      </c>
      <c r="B2149" s="4" t="s">
        <v>1605</v>
      </c>
      <c r="C2149" s="5">
        <v>124098.0</v>
      </c>
      <c r="D2149" s="8" t="str">
        <f>+34.662628°</f>
        <v>#ERROR!</v>
      </c>
      <c r="E2149" s="7" t="s">
        <v>3560</v>
      </c>
    </row>
    <row r="2150">
      <c r="A2150" s="3" t="s">
        <v>3537</v>
      </c>
      <c r="B2150" s="4" t="s">
        <v>3561</v>
      </c>
      <c r="C2150" s="5">
        <v>6193.0</v>
      </c>
      <c r="D2150" s="8" t="str">
        <f>+34.290676°</f>
        <v>#ERROR!</v>
      </c>
      <c r="E2150" s="7" t="s">
        <v>3562</v>
      </c>
    </row>
    <row r="2151">
      <c r="A2151" s="3" t="s">
        <v>3537</v>
      </c>
      <c r="B2151" s="4" t="s">
        <v>3563</v>
      </c>
      <c r="C2151" s="5">
        <v>15029.0</v>
      </c>
      <c r="D2151" s="8" t="str">
        <f>+36.763890°</f>
        <v>#ERROR!</v>
      </c>
      <c r="E2151" s="7" t="s">
        <v>3564</v>
      </c>
    </row>
    <row r="2152">
      <c r="A2152" s="3" t="s">
        <v>3537</v>
      </c>
      <c r="B2152" s="4" t="s">
        <v>3565</v>
      </c>
      <c r="C2152" s="5">
        <v>69967.0</v>
      </c>
      <c r="D2152" s="8" t="str">
        <f>+35.907732°</f>
        <v>#ERROR!</v>
      </c>
      <c r="E2152" s="7" t="s">
        <v>3566</v>
      </c>
    </row>
    <row r="2153">
      <c r="A2153" s="3" t="s">
        <v>3537</v>
      </c>
      <c r="B2153" s="4" t="s">
        <v>550</v>
      </c>
      <c r="C2153" s="5">
        <v>27469.0</v>
      </c>
      <c r="D2153" s="8" t="str">
        <f>+35.645601°</f>
        <v>#ERROR!</v>
      </c>
      <c r="E2153" s="7" t="s">
        <v>3567</v>
      </c>
    </row>
    <row r="2154">
      <c r="A2154" s="3" t="s">
        <v>3537</v>
      </c>
      <c r="B2154" s="4" t="s">
        <v>1323</v>
      </c>
      <c r="C2154" s="5">
        <v>41487.0</v>
      </c>
      <c r="D2154" s="8" t="str">
        <f>+36.393369°</f>
        <v>#ERROR!</v>
      </c>
      <c r="E2154" s="7" t="s">
        <v>3568</v>
      </c>
    </row>
    <row r="2155">
      <c r="A2155" s="3" t="s">
        <v>3537</v>
      </c>
      <c r="B2155" s="4" t="s">
        <v>3569</v>
      </c>
      <c r="C2155" s="5">
        <v>4810.0</v>
      </c>
      <c r="D2155" s="8" t="str">
        <f>+35.978433°</f>
        <v>#ERROR!</v>
      </c>
      <c r="E2155" s="7" t="s">
        <v>3570</v>
      </c>
    </row>
    <row r="2156">
      <c r="A2156" s="3" t="s">
        <v>3537</v>
      </c>
      <c r="B2156" s="4" t="s">
        <v>1618</v>
      </c>
      <c r="C2156" s="5">
        <v>4151.0</v>
      </c>
      <c r="D2156" s="8" t="str">
        <f>+36.224258°</f>
        <v>#ERROR!</v>
      </c>
      <c r="E2156" s="7" t="s">
        <v>3571</v>
      </c>
    </row>
    <row r="2157">
      <c r="A2157" s="3" t="s">
        <v>3537</v>
      </c>
      <c r="B2157" s="4" t="s">
        <v>568</v>
      </c>
      <c r="C2157" s="5">
        <v>60580.0</v>
      </c>
      <c r="D2157" s="8" t="str">
        <f>+36.378273°</f>
        <v>#ERROR!</v>
      </c>
      <c r="E2157" s="7" t="s">
        <v>3572</v>
      </c>
    </row>
    <row r="2158">
      <c r="A2158" s="3" t="s">
        <v>3537</v>
      </c>
      <c r="B2158" s="4" t="s">
        <v>3573</v>
      </c>
      <c r="C2158" s="5">
        <v>27576.0</v>
      </c>
      <c r="D2158" s="8" t="str">
        <f>+34.709350°</f>
        <v>#ERROR!</v>
      </c>
      <c r="E2158" s="7" t="s">
        <v>3574</v>
      </c>
    </row>
    <row r="2159">
      <c r="A2159" s="3" t="s">
        <v>3537</v>
      </c>
      <c r="B2159" s="4" t="s">
        <v>898</v>
      </c>
      <c r="C2159" s="5">
        <v>52431.0</v>
      </c>
      <c r="D2159" s="8" t="str">
        <f>+35.021058°</f>
        <v>#ERROR!</v>
      </c>
      <c r="E2159" s="7" t="s">
        <v>3575</v>
      </c>
    </row>
    <row r="2160">
      <c r="A2160" s="3" t="s">
        <v>3537</v>
      </c>
      <c r="B2160" s="4" t="s">
        <v>321</v>
      </c>
      <c r="C2160" s="5">
        <v>4527.0</v>
      </c>
      <c r="D2160" s="8" t="str">
        <f>+36.788254°</f>
        <v>#ERROR!</v>
      </c>
      <c r="E2160" s="7" t="s">
        <v>3576</v>
      </c>
    </row>
    <row r="2161">
      <c r="A2161" s="3" t="s">
        <v>3537</v>
      </c>
      <c r="B2161" s="4" t="s">
        <v>3577</v>
      </c>
      <c r="C2161" s="5">
        <v>6239.0</v>
      </c>
      <c r="D2161" s="8" t="str">
        <f>+34.935263°</f>
        <v>#ERROR!</v>
      </c>
      <c r="E2161" s="7" t="s">
        <v>3578</v>
      </c>
    </row>
    <row r="2162">
      <c r="A2162" s="3" t="s">
        <v>3537</v>
      </c>
      <c r="B2162" s="4" t="s">
        <v>3579</v>
      </c>
      <c r="C2162" s="5">
        <v>2922.0</v>
      </c>
      <c r="D2162" s="8" t="str">
        <f>+34.745971°</f>
        <v>#ERROR!</v>
      </c>
      <c r="E2162" s="7" t="s">
        <v>3580</v>
      </c>
    </row>
    <row r="2163">
      <c r="A2163" s="3" t="s">
        <v>3537</v>
      </c>
      <c r="B2163" s="4" t="s">
        <v>1639</v>
      </c>
      <c r="C2163" s="5">
        <v>3685.0</v>
      </c>
      <c r="D2163" s="8" t="str">
        <f>+36.800456°</f>
        <v>#ERROR!</v>
      </c>
      <c r="E2163" s="7" t="s">
        <v>3581</v>
      </c>
    </row>
    <row r="2164">
      <c r="A2164" s="3" t="s">
        <v>3537</v>
      </c>
      <c r="B2164" s="4" t="s">
        <v>1643</v>
      </c>
      <c r="C2164" s="5">
        <v>12769.0</v>
      </c>
      <c r="D2164" s="8" t="str">
        <f>+35.232294°</f>
        <v>#ERROR!</v>
      </c>
      <c r="E2164" s="7" t="s">
        <v>3582</v>
      </c>
    </row>
    <row r="2165">
      <c r="A2165" s="3" t="s">
        <v>3537</v>
      </c>
      <c r="B2165" s="4" t="s">
        <v>3583</v>
      </c>
      <c r="C2165" s="5">
        <v>14003.0</v>
      </c>
      <c r="D2165" s="8" t="str">
        <f>+35.052934°</f>
        <v>#ERROR!</v>
      </c>
      <c r="E2165" s="7" t="s">
        <v>3584</v>
      </c>
    </row>
    <row r="2166">
      <c r="A2166" s="3" t="s">
        <v>3537</v>
      </c>
      <c r="B2166" s="4" t="s">
        <v>108</v>
      </c>
      <c r="C2166" s="5">
        <v>26446.0</v>
      </c>
      <c r="D2166" s="8" t="str">
        <f>+34.593949°</f>
        <v>#ERROR!</v>
      </c>
      <c r="E2166" s="7" t="s">
        <v>3585</v>
      </c>
    </row>
    <row r="2167">
      <c r="A2167" s="3" t="s">
        <v>3537</v>
      </c>
      <c r="B2167" s="4" t="s">
        <v>111</v>
      </c>
      <c r="C2167" s="5">
        <v>6472.0</v>
      </c>
      <c r="D2167" s="8" t="str">
        <f>+34.105092°</f>
        <v>#ERROR!</v>
      </c>
      <c r="E2167" s="7" t="s">
        <v>3586</v>
      </c>
    </row>
    <row r="2168">
      <c r="A2168" s="3" t="s">
        <v>3537</v>
      </c>
      <c r="B2168" s="4" t="s">
        <v>3248</v>
      </c>
      <c r="C2168" s="5">
        <v>10957.0</v>
      </c>
      <c r="D2168" s="8" t="str">
        <f>+34.313455°</f>
        <v>#ERROR!</v>
      </c>
      <c r="E2168" s="7" t="s">
        <v>3587</v>
      </c>
    </row>
    <row r="2169">
      <c r="A2169" s="3" t="s">
        <v>3537</v>
      </c>
      <c r="B2169" s="4" t="s">
        <v>3588</v>
      </c>
      <c r="C2169" s="5">
        <v>46562.0</v>
      </c>
      <c r="D2169" s="8" t="str">
        <f>+36.814842°</f>
        <v>#ERROR!</v>
      </c>
      <c r="E2169" s="7" t="s">
        <v>3589</v>
      </c>
    </row>
    <row r="2170">
      <c r="A2170" s="3" t="s">
        <v>3537</v>
      </c>
      <c r="B2170" s="4" t="s">
        <v>3590</v>
      </c>
      <c r="C2170" s="5">
        <v>15034.0</v>
      </c>
      <c r="D2170" s="8" t="str">
        <f>+35.949431°</f>
        <v>#ERROR!</v>
      </c>
      <c r="E2170" s="7" t="s">
        <v>3591</v>
      </c>
    </row>
    <row r="2171">
      <c r="A2171" s="3" t="s">
        <v>3537</v>
      </c>
      <c r="B2171" s="4" t="s">
        <v>582</v>
      </c>
      <c r="C2171" s="5">
        <v>9446.0</v>
      </c>
      <c r="D2171" s="8" t="str">
        <f>+34.921489°</f>
        <v>#ERROR!</v>
      </c>
      <c r="E2171" s="7" t="s">
        <v>3592</v>
      </c>
    </row>
    <row r="2172">
      <c r="A2172" s="3" t="s">
        <v>3537</v>
      </c>
      <c r="B2172" s="4" t="s">
        <v>3593</v>
      </c>
      <c r="C2172" s="5">
        <v>11154.0</v>
      </c>
      <c r="D2172" s="8" t="str">
        <f>+34.875137°</f>
        <v>#ERROR!</v>
      </c>
      <c r="E2172" s="7" t="s">
        <v>3594</v>
      </c>
    </row>
    <row r="2173">
      <c r="A2173" s="3" t="s">
        <v>3537</v>
      </c>
      <c r="B2173" s="4" t="s">
        <v>3595</v>
      </c>
      <c r="C2173" s="5">
        <v>50384.0</v>
      </c>
      <c r="D2173" s="8" t="str">
        <f>+34.899642°</f>
        <v>#ERROR!</v>
      </c>
      <c r="E2173" s="7" t="s">
        <v>3596</v>
      </c>
    </row>
    <row r="2174">
      <c r="A2174" s="3" t="s">
        <v>3537</v>
      </c>
      <c r="B2174" s="4" t="s">
        <v>342</v>
      </c>
      <c r="C2174" s="5">
        <v>34273.0</v>
      </c>
      <c r="D2174" s="8" t="str">
        <f>+35.703118°</f>
        <v>#ERROR!</v>
      </c>
      <c r="E2174" s="7" t="s">
        <v>3597</v>
      </c>
    </row>
    <row r="2175">
      <c r="A2175" s="3" t="s">
        <v>3537</v>
      </c>
      <c r="B2175" s="4" t="s">
        <v>346</v>
      </c>
      <c r="C2175" s="5">
        <v>41848.0</v>
      </c>
      <c r="D2175" s="8" t="str">
        <f>+35.914151°</f>
        <v>#ERROR!</v>
      </c>
      <c r="E2175" s="7" t="s">
        <v>3598</v>
      </c>
    </row>
    <row r="2176">
      <c r="A2176" s="3" t="s">
        <v>3537</v>
      </c>
      <c r="B2176" s="4" t="s">
        <v>3599</v>
      </c>
      <c r="C2176" s="5">
        <v>9423.0</v>
      </c>
      <c r="D2176" s="8" t="str">
        <f>+33.957775°</f>
        <v>#ERROR!</v>
      </c>
      <c r="E2176" s="7" t="s">
        <v>3600</v>
      </c>
    </row>
    <row r="2177">
      <c r="A2177" s="3" t="s">
        <v>3537</v>
      </c>
      <c r="B2177" s="4" t="s">
        <v>3601</v>
      </c>
      <c r="C2177" s="5">
        <v>34506.0</v>
      </c>
      <c r="D2177" s="8" t="str">
        <f>+35.016414°</f>
        <v>#ERROR!</v>
      </c>
      <c r="E2177" s="7" t="s">
        <v>3602</v>
      </c>
    </row>
    <row r="2178">
      <c r="A2178" s="3" t="s">
        <v>3537</v>
      </c>
      <c r="B2178" s="4" t="s">
        <v>3603</v>
      </c>
      <c r="C2178" s="5">
        <v>33151.0</v>
      </c>
      <c r="D2178" s="8" t="str">
        <f>+34.117073°</f>
        <v>#ERROR!</v>
      </c>
      <c r="E2178" s="7" t="s">
        <v>3604</v>
      </c>
    </row>
    <row r="2179">
      <c r="A2179" s="3" t="s">
        <v>3537</v>
      </c>
      <c r="B2179" s="4" t="s">
        <v>947</v>
      </c>
      <c r="C2179" s="5">
        <v>20252.0</v>
      </c>
      <c r="D2179" s="8" t="str">
        <f>+35.369092°</f>
        <v>#ERROR!</v>
      </c>
      <c r="E2179" s="7" t="s">
        <v>3605</v>
      </c>
    </row>
    <row r="2180">
      <c r="A2180" s="3" t="s">
        <v>3537</v>
      </c>
      <c r="B2180" s="4" t="s">
        <v>3606</v>
      </c>
      <c r="C2180" s="5">
        <v>7527.0</v>
      </c>
      <c r="D2180" s="8" t="str">
        <f>+36.313119°</f>
        <v>#ERROR!</v>
      </c>
      <c r="E2180" s="7" t="s">
        <v>3607</v>
      </c>
    </row>
    <row r="2181">
      <c r="A2181" s="3" t="s">
        <v>3537</v>
      </c>
      <c r="B2181" s="4" t="s">
        <v>143</v>
      </c>
      <c r="C2181" s="5">
        <v>15840.0</v>
      </c>
      <c r="D2181" s="8" t="str">
        <f>+34.027007°</f>
        <v>#ERROR!</v>
      </c>
      <c r="E2181" s="7" t="s">
        <v>3608</v>
      </c>
    </row>
    <row r="2182">
      <c r="A2182" s="3" t="s">
        <v>3537</v>
      </c>
      <c r="B2182" s="4" t="s">
        <v>3609</v>
      </c>
      <c r="C2182" s="5">
        <v>41259.0</v>
      </c>
      <c r="D2182" s="8" t="str">
        <f>+36.303804°</f>
        <v>#ERROR!</v>
      </c>
      <c r="E2182" s="7" t="s">
        <v>3610</v>
      </c>
    </row>
    <row r="2183">
      <c r="A2183" s="3" t="s">
        <v>3537</v>
      </c>
      <c r="B2183" s="4" t="s">
        <v>960</v>
      </c>
      <c r="C2183" s="5">
        <v>13488.0</v>
      </c>
      <c r="D2183" s="8" t="str">
        <f>+34.485766°</f>
        <v>#ERROR!</v>
      </c>
      <c r="E2183" s="7" t="s">
        <v>3611</v>
      </c>
    </row>
    <row r="2184">
      <c r="A2184" s="3" t="s">
        <v>3537</v>
      </c>
      <c r="B2184" s="4" t="s">
        <v>3612</v>
      </c>
      <c r="C2184" s="5">
        <v>70990.0</v>
      </c>
      <c r="D2184" s="8" t="str">
        <f>+35.617551°</f>
        <v>#ERROR!</v>
      </c>
      <c r="E2184" s="7" t="s">
        <v>3613</v>
      </c>
    </row>
    <row r="2185">
      <c r="A2185" s="3" t="s">
        <v>3537</v>
      </c>
      <c r="B2185" s="4" t="s">
        <v>1376</v>
      </c>
      <c r="C2185" s="5">
        <v>11561.0</v>
      </c>
      <c r="D2185" s="8" t="str">
        <f>+36.384901°</f>
        <v>#ERROR!</v>
      </c>
      <c r="E2185" s="7" t="s">
        <v>3614</v>
      </c>
    </row>
    <row r="2186">
      <c r="A2186" s="3" t="s">
        <v>3537</v>
      </c>
      <c r="B2186" s="4" t="s">
        <v>3615</v>
      </c>
      <c r="C2186" s="5">
        <v>10536.0</v>
      </c>
      <c r="D2186" s="8" t="str">
        <f>+36.789615°</f>
        <v>#ERROR!</v>
      </c>
      <c r="E2186" s="7" t="s">
        <v>3616</v>
      </c>
    </row>
    <row r="2187">
      <c r="A2187" s="3" t="s">
        <v>3537</v>
      </c>
      <c r="B2187" s="4" t="s">
        <v>3617</v>
      </c>
      <c r="C2187" s="5">
        <v>12191.0</v>
      </c>
      <c r="D2187" s="8" t="str">
        <f>+35.466804°</f>
        <v>#ERROR!</v>
      </c>
      <c r="E2187" s="7" t="s">
        <v>3618</v>
      </c>
    </row>
    <row r="2188">
      <c r="A2188" s="3" t="s">
        <v>3537</v>
      </c>
      <c r="B2188" s="4" t="s">
        <v>3619</v>
      </c>
      <c r="C2188" s="5">
        <v>718633.0</v>
      </c>
      <c r="D2188" s="8" t="str">
        <f>+35.554611°</f>
        <v>#ERROR!</v>
      </c>
      <c r="E2188" s="7" t="s">
        <v>3620</v>
      </c>
    </row>
    <row r="2189">
      <c r="A2189" s="3" t="s">
        <v>3537</v>
      </c>
      <c r="B2189" s="4" t="s">
        <v>3621</v>
      </c>
      <c r="C2189" s="5">
        <v>40069.0</v>
      </c>
      <c r="D2189" s="8" t="str">
        <f>+35.646879°</f>
        <v>#ERROR!</v>
      </c>
      <c r="E2189" s="7" t="s">
        <v>3622</v>
      </c>
    </row>
    <row r="2190">
      <c r="A2190" s="3" t="s">
        <v>3537</v>
      </c>
      <c r="B2190" s="4" t="s">
        <v>1688</v>
      </c>
      <c r="C2190" s="5">
        <v>47472.0</v>
      </c>
      <c r="D2190" s="8" t="str">
        <f>+36.624680°</f>
        <v>#ERROR!</v>
      </c>
      <c r="E2190" s="7" t="s">
        <v>3623</v>
      </c>
    </row>
    <row r="2191">
      <c r="A2191" s="3" t="s">
        <v>3537</v>
      </c>
      <c r="B2191" s="4" t="s">
        <v>1692</v>
      </c>
      <c r="C2191" s="5">
        <v>31848.0</v>
      </c>
      <c r="D2191" s="8" t="str">
        <f>+36.835764°</f>
        <v>#ERROR!</v>
      </c>
      <c r="E2191" s="7" t="s">
        <v>3624</v>
      </c>
    </row>
    <row r="2192">
      <c r="A2192" s="3" t="s">
        <v>3537</v>
      </c>
      <c r="B2192" s="4" t="s">
        <v>1694</v>
      </c>
      <c r="C2192" s="5">
        <v>16577.0</v>
      </c>
      <c r="D2192" s="8" t="str">
        <f>+36.313704°</f>
        <v>#ERROR!</v>
      </c>
      <c r="E2192" s="7" t="s">
        <v>3625</v>
      </c>
    </row>
    <row r="2193">
      <c r="A2193" s="3" t="s">
        <v>3537</v>
      </c>
      <c r="B2193" s="4" t="s">
        <v>3626</v>
      </c>
      <c r="C2193" s="5">
        <v>77350.0</v>
      </c>
      <c r="D2193" s="8" t="str">
        <f>+36.079225°</f>
        <v>#ERROR!</v>
      </c>
      <c r="E2193" s="7" t="s">
        <v>3627</v>
      </c>
    </row>
    <row r="2194">
      <c r="A2194" s="3" t="s">
        <v>3537</v>
      </c>
      <c r="B2194" s="4" t="s">
        <v>3628</v>
      </c>
      <c r="C2194" s="5">
        <v>45837.0</v>
      </c>
      <c r="D2194" s="8" t="str">
        <f>+34.925540°</f>
        <v>#ERROR!</v>
      </c>
      <c r="E2194" s="7" t="s">
        <v>3629</v>
      </c>
    </row>
    <row r="2195">
      <c r="A2195" s="3" t="s">
        <v>3537</v>
      </c>
      <c r="B2195" s="4" t="s">
        <v>2509</v>
      </c>
      <c r="C2195" s="5">
        <v>37492.0</v>
      </c>
      <c r="D2195" s="8" t="str">
        <f>+34.721071°</f>
        <v>#ERROR!</v>
      </c>
      <c r="E2195" s="7" t="s">
        <v>3630</v>
      </c>
    </row>
    <row r="2196">
      <c r="A2196" s="3" t="s">
        <v>3537</v>
      </c>
      <c r="B2196" s="4" t="s">
        <v>1697</v>
      </c>
      <c r="C2196" s="5">
        <v>69442.0</v>
      </c>
      <c r="D2196" s="8" t="str">
        <f>+35.211393°</f>
        <v>#ERROR!</v>
      </c>
      <c r="E2196" s="7" t="s">
        <v>3631</v>
      </c>
    </row>
    <row r="2197">
      <c r="A2197" s="3" t="s">
        <v>3537</v>
      </c>
      <c r="B2197" s="4" t="s">
        <v>3632</v>
      </c>
      <c r="C2197" s="5">
        <v>11572.0</v>
      </c>
      <c r="D2197" s="8" t="str">
        <f>+34.377896°</f>
        <v>#ERROR!</v>
      </c>
      <c r="E2197" s="7" t="s">
        <v>3633</v>
      </c>
    </row>
    <row r="2198">
      <c r="A2198" s="3" t="s">
        <v>3537</v>
      </c>
      <c r="B2198" s="4" t="s">
        <v>3634</v>
      </c>
      <c r="C2198" s="5">
        <v>3647.0</v>
      </c>
      <c r="D2198" s="8" t="str">
        <f>+35.708554°</f>
        <v>#ERROR!</v>
      </c>
      <c r="E2198" s="7" t="s">
        <v>3635</v>
      </c>
    </row>
    <row r="2199">
      <c r="A2199" s="3" t="s">
        <v>3537</v>
      </c>
      <c r="B2199" s="4" t="s">
        <v>3636</v>
      </c>
      <c r="C2199" s="5">
        <v>86905.0</v>
      </c>
      <c r="D2199" s="8" t="str">
        <f>+36.378082°</f>
        <v>#ERROR!</v>
      </c>
      <c r="E2199" s="7" t="s">
        <v>3637</v>
      </c>
    </row>
    <row r="2200">
      <c r="A2200" s="3" t="s">
        <v>3537</v>
      </c>
      <c r="B2200" s="4" t="s">
        <v>770</v>
      </c>
      <c r="C2200" s="5">
        <v>25482.0</v>
      </c>
      <c r="D2200" s="8" t="str">
        <f>+35.158366°</f>
        <v>#ERROR!</v>
      </c>
      <c r="E2200" s="7" t="s">
        <v>3638</v>
      </c>
    </row>
    <row r="2201">
      <c r="A2201" s="3" t="s">
        <v>3537</v>
      </c>
      <c r="B2201" s="4" t="s">
        <v>3639</v>
      </c>
      <c r="C2201" s="5">
        <v>42391.0</v>
      </c>
      <c r="D2201" s="8" t="str">
        <f>+35.502435°</f>
        <v>#ERROR!</v>
      </c>
      <c r="E2201" s="7" t="s">
        <v>3640</v>
      </c>
    </row>
    <row r="2202">
      <c r="A2202" s="3" t="s">
        <v>3537</v>
      </c>
      <c r="B2202" s="4" t="s">
        <v>996</v>
      </c>
      <c r="C2202" s="5">
        <v>45048.0</v>
      </c>
      <c r="D2202" s="8" t="str">
        <f>+34.481361°</f>
        <v>#ERROR!</v>
      </c>
      <c r="E2202" s="7" t="s">
        <v>3641</v>
      </c>
    </row>
    <row r="2203">
      <c r="A2203" s="3" t="s">
        <v>3537</v>
      </c>
      <c r="B2203" s="4" t="s">
        <v>2691</v>
      </c>
      <c r="C2203" s="5">
        <v>20640.0</v>
      </c>
      <c r="D2203" s="8" t="str">
        <f>+36.741964°</f>
        <v>#ERROR!</v>
      </c>
      <c r="E2203" s="7" t="s">
        <v>3642</v>
      </c>
    </row>
    <row r="2204">
      <c r="A2204" s="3" t="s">
        <v>3537</v>
      </c>
      <c r="B2204" s="4" t="s">
        <v>3643</v>
      </c>
      <c r="C2204" s="5">
        <v>7992.0</v>
      </c>
      <c r="D2204" s="8" t="str">
        <f>+34.371085°</f>
        <v>#ERROR!</v>
      </c>
      <c r="E2204" s="7" t="s">
        <v>3644</v>
      </c>
    </row>
    <row r="2205">
      <c r="A2205" s="3" t="s">
        <v>3537</v>
      </c>
      <c r="B2205" s="4" t="s">
        <v>3645</v>
      </c>
      <c r="C2205" s="5">
        <v>603403.0</v>
      </c>
      <c r="D2205" s="8" t="str">
        <f>+36.120121°</f>
        <v>#ERROR!</v>
      </c>
      <c r="E2205" s="7" t="s">
        <v>3646</v>
      </c>
    </row>
    <row r="2206">
      <c r="A2206" s="3" t="s">
        <v>3537</v>
      </c>
      <c r="B2206" s="4" t="s">
        <v>3647</v>
      </c>
      <c r="C2206" s="5">
        <v>73085.0</v>
      </c>
      <c r="D2206" s="8" t="str">
        <f>+35.963479°</f>
        <v>#ERROR!</v>
      </c>
      <c r="E2206" s="7" t="s">
        <v>3648</v>
      </c>
    </row>
    <row r="2207">
      <c r="A2207" s="3" t="s">
        <v>3537</v>
      </c>
      <c r="B2207" s="4" t="s">
        <v>177</v>
      </c>
      <c r="C2207" s="5">
        <v>50976.0</v>
      </c>
      <c r="D2207" s="8" t="str">
        <f>+36.704380°</f>
        <v>#ERROR!</v>
      </c>
      <c r="E2207" s="7" t="s">
        <v>3649</v>
      </c>
    </row>
    <row r="2208">
      <c r="A2208" s="3" t="s">
        <v>3537</v>
      </c>
      <c r="B2208" s="4" t="s">
        <v>3650</v>
      </c>
      <c r="C2208" s="5">
        <v>11629.0</v>
      </c>
      <c r="D2208" s="8" t="str">
        <f>+35.290177°</f>
        <v>#ERROR!</v>
      </c>
      <c r="E2208" s="7" t="s">
        <v>3651</v>
      </c>
    </row>
    <row r="2209">
      <c r="A2209" s="3" t="s">
        <v>3537</v>
      </c>
      <c r="B2209" s="4" t="s">
        <v>3652</v>
      </c>
      <c r="C2209" s="5">
        <v>8878.0</v>
      </c>
      <c r="D2209" s="8" t="str">
        <f>+36.765141°</f>
        <v>#ERROR!</v>
      </c>
      <c r="E2209" s="7" t="s">
        <v>3653</v>
      </c>
    </row>
    <row r="2210">
      <c r="A2210" s="3" t="s">
        <v>3537</v>
      </c>
      <c r="B2210" s="4" t="s">
        <v>3654</v>
      </c>
      <c r="C2210" s="5">
        <v>20081.0</v>
      </c>
      <c r="D2210" s="8" t="str">
        <f>+36.425619°</f>
        <v>#ERROR!</v>
      </c>
      <c r="E2210" s="7" t="s">
        <v>3655</v>
      </c>
    </row>
    <row r="2211">
      <c r="A2211" s="3" t="s">
        <v>3656</v>
      </c>
      <c r="B2211" s="4" t="s">
        <v>671</v>
      </c>
      <c r="C2211" s="5">
        <v>16134.0</v>
      </c>
      <c r="D2211" s="8" t="str">
        <f>+44.703427°</f>
        <v>#ERROR!</v>
      </c>
      <c r="E2211" s="7" t="s">
        <v>3657</v>
      </c>
    </row>
    <row r="2212">
      <c r="A2212" s="3" t="s">
        <v>3656</v>
      </c>
      <c r="B2212" s="4" t="s">
        <v>280</v>
      </c>
      <c r="C2212" s="5">
        <v>85579.0</v>
      </c>
      <c r="D2212" s="8" t="str">
        <f>+44.490623°</f>
        <v>#ERROR!</v>
      </c>
      <c r="E2212" s="7" t="s">
        <v>3658</v>
      </c>
    </row>
    <row r="2213">
      <c r="A2213" s="3" t="s">
        <v>3656</v>
      </c>
      <c r="B2213" s="4" t="s">
        <v>3659</v>
      </c>
      <c r="C2213" s="5">
        <v>375992.0</v>
      </c>
      <c r="D2213" s="8" t="str">
        <f>+45.160493°</f>
        <v>#ERROR!</v>
      </c>
      <c r="E2213" s="7" t="s">
        <v>3660</v>
      </c>
    </row>
    <row r="2214">
      <c r="A2214" s="3" t="s">
        <v>3656</v>
      </c>
      <c r="B2214" s="4" t="s">
        <v>3661</v>
      </c>
      <c r="C2214" s="5">
        <v>37039.0</v>
      </c>
      <c r="D2214" s="8" t="str">
        <f>+46.024509°</f>
        <v>#ERROR!</v>
      </c>
      <c r="E2214" s="7" t="s">
        <v>3662</v>
      </c>
    </row>
    <row r="2215">
      <c r="A2215" s="3" t="s">
        <v>3656</v>
      </c>
      <c r="B2215" s="4" t="s">
        <v>297</v>
      </c>
      <c r="C2215" s="5">
        <v>49351.0</v>
      </c>
      <c r="D2215" s="8" t="str">
        <f>+45.941932°</f>
        <v>#ERROR!</v>
      </c>
      <c r="E2215" s="7" t="s">
        <v>3663</v>
      </c>
    </row>
    <row r="2216">
      <c r="A2216" s="3" t="s">
        <v>3656</v>
      </c>
      <c r="B2216" s="4" t="s">
        <v>2964</v>
      </c>
      <c r="C2216" s="5">
        <v>63043.0</v>
      </c>
      <c r="D2216" s="8" t="str">
        <f>+43.184193°</f>
        <v>#ERROR!</v>
      </c>
      <c r="E2216" s="7" t="s">
        <v>3664</v>
      </c>
    </row>
    <row r="2217">
      <c r="A2217" s="3" t="s">
        <v>3656</v>
      </c>
      <c r="B2217" s="4" t="s">
        <v>3665</v>
      </c>
      <c r="C2217" s="5">
        <v>20978.0</v>
      </c>
      <c r="D2217" s="8" t="str">
        <f>+44.163054°</f>
        <v>#ERROR!</v>
      </c>
      <c r="E2217" s="7" t="s">
        <v>3666</v>
      </c>
    </row>
    <row r="2218">
      <c r="A2218" s="3" t="s">
        <v>3656</v>
      </c>
      <c r="B2218" s="4" t="s">
        <v>3019</v>
      </c>
      <c r="C2218" s="5">
        <v>22364.0</v>
      </c>
      <c r="D2218" s="8" t="str">
        <f>+42.466671°</f>
        <v>#ERROR!</v>
      </c>
      <c r="E2218" s="7" t="s">
        <v>3667</v>
      </c>
    </row>
    <row r="2219">
      <c r="A2219" s="3" t="s">
        <v>3656</v>
      </c>
      <c r="B2219" s="4" t="s">
        <v>3668</v>
      </c>
      <c r="C2219" s="5">
        <v>157733.0</v>
      </c>
      <c r="D2219" s="8" t="str">
        <f>+43.915118°</f>
        <v>#ERROR!</v>
      </c>
      <c r="E2219" s="7" t="s">
        <v>3669</v>
      </c>
    </row>
    <row r="2220">
      <c r="A2220" s="3" t="s">
        <v>3656</v>
      </c>
      <c r="B2220" s="4" t="s">
        <v>558</v>
      </c>
      <c r="C2220" s="5">
        <v>107667.0</v>
      </c>
      <c r="D2220" s="8" t="str">
        <f>+43.285904°</f>
        <v>#ERROR!</v>
      </c>
      <c r="E2220" s="7" t="s">
        <v>3670</v>
      </c>
    </row>
    <row r="2221">
      <c r="A2221" s="3" t="s">
        <v>3656</v>
      </c>
      <c r="B2221" s="4" t="s">
        <v>3671</v>
      </c>
      <c r="C2221" s="5">
        <v>1871.0</v>
      </c>
      <c r="D2221" s="8" t="str">
        <f>+45.381666°</f>
        <v>#ERROR!</v>
      </c>
      <c r="E2221" s="7" t="s">
        <v>3672</v>
      </c>
    </row>
    <row r="2222">
      <c r="A2222" s="3" t="s">
        <v>3656</v>
      </c>
      <c r="B2222" s="4" t="s">
        <v>321</v>
      </c>
      <c r="C2222" s="5">
        <v>7445.0</v>
      </c>
      <c r="D2222" s="8" t="str">
        <f>+44.496326°</f>
        <v>#ERROR!</v>
      </c>
      <c r="E2222" s="7" t="s">
        <v>3673</v>
      </c>
    </row>
    <row r="2223">
      <c r="A2223" s="3" t="s">
        <v>3656</v>
      </c>
      <c r="B2223" s="4" t="s">
        <v>3674</v>
      </c>
      <c r="C2223" s="5">
        <v>7422.0</v>
      </c>
      <c r="D2223" s="8" t="str">
        <f>+43.064355°</f>
        <v>#ERROR!</v>
      </c>
      <c r="E2223" s="7" t="s">
        <v>3675</v>
      </c>
    </row>
    <row r="2224">
      <c r="A2224" s="3" t="s">
        <v>3656</v>
      </c>
      <c r="B2224" s="4" t="s">
        <v>3676</v>
      </c>
      <c r="C2224" s="5">
        <v>22346.0</v>
      </c>
      <c r="D2224" s="8" t="str">
        <f>+45.511775°</f>
        <v>#ERROR!</v>
      </c>
      <c r="E2224" s="7" t="s">
        <v>3677</v>
      </c>
    </row>
    <row r="2225">
      <c r="A2225" s="3" t="s">
        <v>3656</v>
      </c>
      <c r="B2225" s="4" t="s">
        <v>108</v>
      </c>
      <c r="C2225" s="5">
        <v>203206.0</v>
      </c>
      <c r="D2225" s="8" t="str">
        <f>+42.411782°</f>
        <v>#ERROR!</v>
      </c>
      <c r="E2225" s="7" t="s">
        <v>3678</v>
      </c>
    </row>
    <row r="2226">
      <c r="A2226" s="3" t="s">
        <v>3656</v>
      </c>
      <c r="B2226" s="4" t="s">
        <v>111</v>
      </c>
      <c r="C2226" s="5">
        <v>21720.0</v>
      </c>
      <c r="D2226" s="8" t="str">
        <f>+44.643790°</f>
        <v>#ERROR!</v>
      </c>
      <c r="E2226" s="7" t="s">
        <v>3679</v>
      </c>
    </row>
    <row r="2227">
      <c r="A2227" s="3" t="s">
        <v>3656</v>
      </c>
      <c r="B2227" s="4" t="s">
        <v>3680</v>
      </c>
      <c r="C2227" s="5">
        <v>82713.0</v>
      </c>
      <c r="D2227" s="8" t="str">
        <f>+42.385382°</f>
        <v>#ERROR!</v>
      </c>
      <c r="E2227" s="7" t="s">
        <v>3681</v>
      </c>
    </row>
    <row r="2228">
      <c r="A2228" s="3" t="s">
        <v>3656</v>
      </c>
      <c r="B2228" s="4" t="s">
        <v>3682</v>
      </c>
      <c r="C2228" s="5">
        <v>66380.0</v>
      </c>
      <c r="D2228" s="8" t="str">
        <f>+42.683761°</f>
        <v>#ERROR!</v>
      </c>
      <c r="E2228" s="7" t="s">
        <v>3683</v>
      </c>
    </row>
    <row r="2229">
      <c r="A2229" s="3" t="s">
        <v>3656</v>
      </c>
      <c r="B2229" s="4" t="s">
        <v>439</v>
      </c>
      <c r="C2229" s="5">
        <v>7895.0</v>
      </c>
      <c r="D2229" s="8" t="str">
        <f>+42.788401°</f>
        <v>#ERROR!</v>
      </c>
      <c r="E2229" s="7" t="s">
        <v>3684</v>
      </c>
    </row>
    <row r="2230">
      <c r="A2230" s="3" t="s">
        <v>3656</v>
      </c>
      <c r="B2230" s="4" t="s">
        <v>1659</v>
      </c>
      <c r="C2230" s="5">
        <v>351715.0</v>
      </c>
      <c r="D2230" s="8" t="str">
        <f>+43.928276°</f>
        <v>#ERROR!</v>
      </c>
      <c r="E2230" s="7" t="s">
        <v>3685</v>
      </c>
    </row>
    <row r="2231">
      <c r="A2231" s="3" t="s">
        <v>3656</v>
      </c>
      <c r="B2231" s="4" t="s">
        <v>342</v>
      </c>
      <c r="C2231" s="5">
        <v>46034.0</v>
      </c>
      <c r="D2231" s="8" t="str">
        <f>+44.641076°</f>
        <v>#ERROR!</v>
      </c>
      <c r="E2231" s="7" t="s">
        <v>3686</v>
      </c>
    </row>
    <row r="2232">
      <c r="A2232" s="3" t="s">
        <v>3656</v>
      </c>
      <c r="B2232" s="4" t="s">
        <v>1512</v>
      </c>
      <c r="C2232" s="5">
        <v>116672.0</v>
      </c>
      <c r="D2232" s="8" t="str">
        <f>+44.494824°</f>
        <v>#ERROR!</v>
      </c>
      <c r="E2232" s="7" t="s">
        <v>3687</v>
      </c>
    </row>
    <row r="2233">
      <c r="A2233" s="3" t="s">
        <v>3656</v>
      </c>
      <c r="B2233" s="4" t="s">
        <v>3688</v>
      </c>
      <c r="C2233" s="5">
        <v>31313.0</v>
      </c>
      <c r="D2233" s="8" t="str">
        <f>+43.187700°</f>
        <v>#ERROR!</v>
      </c>
      <c r="E2233" s="7" t="s">
        <v>3689</v>
      </c>
    </row>
    <row r="2234">
      <c r="A2234" s="3" t="s">
        <v>3656</v>
      </c>
      <c r="B2234" s="4" t="s">
        <v>141</v>
      </c>
      <c r="C2234" s="5">
        <v>315335.0</v>
      </c>
      <c r="D2234" s="8" t="str">
        <f>+44.900898°</f>
        <v>#ERROR!</v>
      </c>
      <c r="E2234" s="7" t="s">
        <v>3690</v>
      </c>
    </row>
    <row r="2235">
      <c r="A2235" s="3" t="s">
        <v>3656</v>
      </c>
      <c r="B2235" s="4" t="s">
        <v>3493</v>
      </c>
      <c r="C2235" s="5">
        <v>11173.0</v>
      </c>
      <c r="D2235" s="8" t="str">
        <f>+45.425496°</f>
        <v>#ERROR!</v>
      </c>
      <c r="E2235" s="7" t="s">
        <v>3691</v>
      </c>
    </row>
    <row r="2236">
      <c r="A2236" s="3" t="s">
        <v>3656</v>
      </c>
      <c r="B2236" s="4" t="s">
        <v>3692</v>
      </c>
      <c r="C2236" s="5">
        <v>735334.0</v>
      </c>
      <c r="D2236" s="8" t="str">
        <f>+45.547693°</f>
        <v>#ERROR!</v>
      </c>
      <c r="E2236" s="7" t="s">
        <v>3693</v>
      </c>
    </row>
    <row r="2237">
      <c r="A2237" s="3" t="s">
        <v>3656</v>
      </c>
      <c r="B2237" s="4" t="s">
        <v>370</v>
      </c>
      <c r="C2237" s="5">
        <v>75403.0</v>
      </c>
      <c r="D2237" s="8" t="str">
        <f>+44.904395°</f>
        <v>#ERROR!</v>
      </c>
      <c r="E2237" s="7" t="s">
        <v>3694</v>
      </c>
    </row>
    <row r="2238">
      <c r="A2238" s="3" t="s">
        <v>3656</v>
      </c>
      <c r="B2238" s="4" t="s">
        <v>1724</v>
      </c>
      <c r="C2238" s="5">
        <v>1765.0</v>
      </c>
      <c r="D2238" s="8" t="str">
        <f>+45.399216°</f>
        <v>#ERROR!</v>
      </c>
      <c r="E2238" s="7" t="s">
        <v>3695</v>
      </c>
    </row>
    <row r="2239">
      <c r="A2239" s="3" t="s">
        <v>3656</v>
      </c>
      <c r="B2239" s="4" t="s">
        <v>3696</v>
      </c>
      <c r="C2239" s="5">
        <v>25250.0</v>
      </c>
      <c r="D2239" s="8" t="str">
        <f>+45.455743°</f>
        <v>#ERROR!</v>
      </c>
      <c r="E2239" s="7" t="s">
        <v>3697</v>
      </c>
    </row>
    <row r="2240">
      <c r="A2240" s="3" t="s">
        <v>3656</v>
      </c>
      <c r="B2240" s="4" t="s">
        <v>3698</v>
      </c>
      <c r="C2240" s="5">
        <v>75889.0</v>
      </c>
      <c r="D2240" s="8" t="str">
        <f>+45.591200°</f>
        <v>#ERROR!</v>
      </c>
      <c r="E2240" s="7" t="s">
        <v>3699</v>
      </c>
    </row>
    <row r="2241">
      <c r="A2241" s="3" t="s">
        <v>3656</v>
      </c>
      <c r="B2241" s="4" t="s">
        <v>395</v>
      </c>
      <c r="C2241" s="5">
        <v>25748.0</v>
      </c>
      <c r="D2241" s="8" t="str">
        <f>+45.304047°</f>
        <v>#ERROR!</v>
      </c>
      <c r="E2241" s="7" t="s">
        <v>3700</v>
      </c>
    </row>
    <row r="2242">
      <c r="A2242" s="3" t="s">
        <v>3656</v>
      </c>
      <c r="B2242" s="4" t="s">
        <v>3701</v>
      </c>
      <c r="C2242" s="5">
        <v>7008.0</v>
      </c>
      <c r="D2242" s="8" t="str">
        <f>+45.593753°</f>
        <v>#ERROR!</v>
      </c>
      <c r="E2242" s="7" t="s">
        <v>3702</v>
      </c>
    </row>
    <row r="2243">
      <c r="A2243" s="3" t="s">
        <v>3656</v>
      </c>
      <c r="B2243" s="4" t="s">
        <v>3703</v>
      </c>
      <c r="C2243" s="5">
        <v>25213.0</v>
      </c>
      <c r="D2243" s="8" t="str">
        <f>+45.164536°</f>
        <v>#ERROR!</v>
      </c>
      <c r="E2243" s="7" t="s">
        <v>3704</v>
      </c>
    </row>
    <row r="2244">
      <c r="A2244" s="3" t="s">
        <v>3656</v>
      </c>
      <c r="B2244" s="4" t="s">
        <v>177</v>
      </c>
      <c r="C2244" s="5">
        <v>529710.0</v>
      </c>
      <c r="D2244" s="8" t="str">
        <f>+45.553542°</f>
        <v>#ERROR!</v>
      </c>
      <c r="E2244" s="7" t="s">
        <v>3705</v>
      </c>
    </row>
    <row r="2245">
      <c r="A2245" s="3" t="s">
        <v>3656</v>
      </c>
      <c r="B2245" s="4" t="s">
        <v>1042</v>
      </c>
      <c r="C2245" s="5">
        <v>1441.0</v>
      </c>
      <c r="D2245" s="8" t="str">
        <f>+44.736411°</f>
        <v>#ERROR!</v>
      </c>
      <c r="E2245" s="7" t="s">
        <v>3706</v>
      </c>
    </row>
    <row r="2246">
      <c r="A2246" s="3" t="s">
        <v>3656</v>
      </c>
      <c r="B2246" s="4" t="s">
        <v>3707</v>
      </c>
      <c r="C2246" s="5">
        <v>99193.0</v>
      </c>
      <c r="D2246" s="8" t="str">
        <f>+45.248138°</f>
        <v>#ERROR!</v>
      </c>
      <c r="E2246" s="7" t="s">
        <v>3708</v>
      </c>
    </row>
    <row r="2247">
      <c r="A2247" s="3" t="s">
        <v>3709</v>
      </c>
      <c r="B2247" s="4" t="s">
        <v>522</v>
      </c>
      <c r="C2247" s="5">
        <v>101407.0</v>
      </c>
      <c r="D2247" s="8" t="str">
        <f>+39.869471°</f>
        <v>#ERROR!</v>
      </c>
      <c r="E2247" s="7" t="s">
        <v>3710</v>
      </c>
    </row>
    <row r="2248">
      <c r="A2248" s="3" t="s">
        <v>3709</v>
      </c>
      <c r="B2248" s="4" t="s">
        <v>3711</v>
      </c>
      <c r="C2248" s="5">
        <v>1223348.0</v>
      </c>
      <c r="D2248" s="8" t="str">
        <f>+40.468920°</f>
        <v>#ERROR!</v>
      </c>
      <c r="E2248" s="7" t="s">
        <v>3712</v>
      </c>
    </row>
    <row r="2249">
      <c r="A2249" s="3" t="s">
        <v>3709</v>
      </c>
      <c r="B2249" s="4" t="s">
        <v>3713</v>
      </c>
      <c r="C2249" s="5">
        <v>68941.0</v>
      </c>
      <c r="D2249" s="8" t="str">
        <f>+40.812379°</f>
        <v>#ERROR!</v>
      </c>
      <c r="E2249" s="7" t="s">
        <v>3714</v>
      </c>
    </row>
    <row r="2250">
      <c r="A2250" s="3" t="s">
        <v>3709</v>
      </c>
      <c r="B2250" s="4" t="s">
        <v>3543</v>
      </c>
      <c r="C2250" s="5">
        <v>170539.0</v>
      </c>
      <c r="D2250" s="8" t="str">
        <f>+40.684140°</f>
        <v>#ERROR!</v>
      </c>
      <c r="E2250" s="7" t="s">
        <v>3715</v>
      </c>
    </row>
    <row r="2251">
      <c r="A2251" s="3" t="s">
        <v>3709</v>
      </c>
      <c r="B2251" s="4" t="s">
        <v>3716</v>
      </c>
      <c r="C2251" s="5">
        <v>49762.0</v>
      </c>
      <c r="D2251" s="8" t="str">
        <f>+39.997115°</f>
        <v>#ERROR!</v>
      </c>
      <c r="E2251" s="7" t="s">
        <v>3717</v>
      </c>
    </row>
    <row r="2252">
      <c r="A2252" s="3" t="s">
        <v>3709</v>
      </c>
      <c r="B2252" s="4" t="s">
        <v>3718</v>
      </c>
      <c r="C2252" s="5">
        <v>411442.0</v>
      </c>
      <c r="D2252" s="8" t="str">
        <f>+40.413957°</f>
        <v>#ERROR!</v>
      </c>
      <c r="E2252" s="7" t="s">
        <v>3719</v>
      </c>
    </row>
    <row r="2253">
      <c r="A2253" s="3" t="s">
        <v>3709</v>
      </c>
      <c r="B2253" s="4" t="s">
        <v>3720</v>
      </c>
      <c r="C2253" s="5">
        <v>127089.0</v>
      </c>
      <c r="D2253" s="8" t="str">
        <f>+40.497926°</f>
        <v>#ERROR!</v>
      </c>
      <c r="E2253" s="7" t="s">
        <v>3721</v>
      </c>
    </row>
    <row r="2254">
      <c r="A2254" s="3" t="s">
        <v>3709</v>
      </c>
      <c r="B2254" s="4" t="s">
        <v>675</v>
      </c>
      <c r="C2254" s="5">
        <v>62622.0</v>
      </c>
      <c r="D2254" s="8" t="str">
        <f>+41.791495°</f>
        <v>#ERROR!</v>
      </c>
      <c r="E2254" s="7" t="s">
        <v>3722</v>
      </c>
    </row>
    <row r="2255">
      <c r="A2255" s="3" t="s">
        <v>3709</v>
      </c>
      <c r="B2255" s="4" t="s">
        <v>3723</v>
      </c>
      <c r="C2255" s="5">
        <v>625249.0</v>
      </c>
      <c r="D2255" s="8" t="str">
        <f>+40.336887°</f>
        <v>#ERROR!</v>
      </c>
      <c r="E2255" s="7" t="s">
        <v>3724</v>
      </c>
    </row>
    <row r="2256">
      <c r="A2256" s="3" t="s">
        <v>3709</v>
      </c>
      <c r="B2256" s="4" t="s">
        <v>24</v>
      </c>
      <c r="C2256" s="5">
        <v>183862.0</v>
      </c>
      <c r="D2256" s="8" t="str">
        <f>+40.913834°</f>
        <v>#ERROR!</v>
      </c>
      <c r="E2256" s="7" t="s">
        <v>3725</v>
      </c>
    </row>
    <row r="2257">
      <c r="A2257" s="3" t="s">
        <v>3709</v>
      </c>
      <c r="B2257" s="4" t="s">
        <v>3726</v>
      </c>
      <c r="C2257" s="5">
        <v>143679.0</v>
      </c>
      <c r="D2257" s="8" t="str">
        <f>+40.494127°</f>
        <v>#ERROR!</v>
      </c>
      <c r="E2257" s="7" t="s">
        <v>3727</v>
      </c>
    </row>
    <row r="2258">
      <c r="A2258" s="3" t="s">
        <v>3709</v>
      </c>
      <c r="B2258" s="4" t="s">
        <v>1949</v>
      </c>
      <c r="C2258" s="5">
        <v>5085.0</v>
      </c>
      <c r="D2258" s="8" t="str">
        <f>+41.438289°</f>
        <v>#ERROR!</v>
      </c>
      <c r="E2258" s="7" t="s">
        <v>3728</v>
      </c>
    </row>
    <row r="2259">
      <c r="A2259" s="3" t="s">
        <v>3709</v>
      </c>
      <c r="B2259" s="4" t="s">
        <v>2710</v>
      </c>
      <c r="C2259" s="5">
        <v>65249.0</v>
      </c>
      <c r="D2259" s="8" t="str">
        <f>+40.917833°</f>
        <v>#ERROR!</v>
      </c>
      <c r="E2259" s="7" t="s">
        <v>3729</v>
      </c>
    </row>
    <row r="2260">
      <c r="A2260" s="3" t="s">
        <v>3709</v>
      </c>
      <c r="B2260" s="4" t="s">
        <v>3730</v>
      </c>
      <c r="C2260" s="5">
        <v>153990.0</v>
      </c>
      <c r="D2260" s="8" t="str">
        <f>+40.909160°</f>
        <v>#ERROR!</v>
      </c>
      <c r="E2260" s="7" t="s">
        <v>3731</v>
      </c>
    </row>
    <row r="2261">
      <c r="A2261" s="3" t="s">
        <v>3709</v>
      </c>
      <c r="B2261" s="4" t="s">
        <v>3732</v>
      </c>
      <c r="C2261" s="5">
        <v>498886.0</v>
      </c>
      <c r="D2261" s="8" t="str">
        <f>+39.973965°</f>
        <v>#ERROR!</v>
      </c>
      <c r="E2261" s="7" t="s">
        <v>3733</v>
      </c>
    </row>
    <row r="2262">
      <c r="A2262" s="3" t="s">
        <v>3709</v>
      </c>
      <c r="B2262" s="4" t="s">
        <v>3734</v>
      </c>
      <c r="C2262" s="5">
        <v>39988.0</v>
      </c>
      <c r="D2262" s="8" t="str">
        <f>+41.198239°</f>
        <v>#ERROR!</v>
      </c>
      <c r="E2262" s="7" t="s">
        <v>3735</v>
      </c>
    </row>
    <row r="2263">
      <c r="A2263" s="3" t="s">
        <v>3709</v>
      </c>
      <c r="B2263" s="4" t="s">
        <v>3736</v>
      </c>
      <c r="C2263" s="5">
        <v>81642.0</v>
      </c>
      <c r="D2263" s="8" t="str">
        <f>+41.000249°</f>
        <v>#ERROR!</v>
      </c>
      <c r="E2263" s="7" t="s">
        <v>3737</v>
      </c>
    </row>
    <row r="2264">
      <c r="A2264" s="3" t="s">
        <v>3709</v>
      </c>
      <c r="B2264" s="4" t="s">
        <v>1164</v>
      </c>
      <c r="C2264" s="5">
        <v>39238.0</v>
      </c>
      <c r="D2264" s="8" t="str">
        <f>+41.245301°</f>
        <v>#ERROR!</v>
      </c>
      <c r="E2264" s="7" t="s">
        <v>3738</v>
      </c>
    </row>
    <row r="2265">
      <c r="A2265" s="3" t="s">
        <v>3709</v>
      </c>
      <c r="B2265" s="4" t="s">
        <v>297</v>
      </c>
      <c r="C2265" s="5">
        <v>67295.0</v>
      </c>
      <c r="D2265" s="8" t="str">
        <f>+41.045517°</f>
        <v>#ERROR!</v>
      </c>
      <c r="E2265" s="7" t="s">
        <v>3739</v>
      </c>
    </row>
    <row r="2266">
      <c r="A2266" s="3" t="s">
        <v>3709</v>
      </c>
      <c r="B2266" s="4" t="s">
        <v>303</v>
      </c>
      <c r="C2266" s="5">
        <v>88765.0</v>
      </c>
      <c r="D2266" s="8" t="str">
        <f>+41.686840°</f>
        <v>#ERROR!</v>
      </c>
      <c r="E2266" s="7" t="s">
        <v>3740</v>
      </c>
    </row>
    <row r="2267">
      <c r="A2267" s="3" t="s">
        <v>3709</v>
      </c>
      <c r="B2267" s="4" t="s">
        <v>1170</v>
      </c>
      <c r="C2267" s="5">
        <v>235406.0</v>
      </c>
      <c r="D2267" s="8" t="str">
        <f>+40.164782°</f>
        <v>#ERROR!</v>
      </c>
      <c r="E2267" s="7" t="s">
        <v>3741</v>
      </c>
    </row>
    <row r="2268">
      <c r="A2268" s="3" t="s">
        <v>3709</v>
      </c>
      <c r="B2268" s="4" t="s">
        <v>3742</v>
      </c>
      <c r="C2268" s="5">
        <v>268100.0</v>
      </c>
      <c r="D2268" s="8" t="str">
        <f>+40.412565°</f>
        <v>#ERROR!</v>
      </c>
      <c r="E2268" s="7" t="s">
        <v>3743</v>
      </c>
    </row>
    <row r="2269">
      <c r="A2269" s="3" t="s">
        <v>3709</v>
      </c>
      <c r="B2269" s="4" t="s">
        <v>1323</v>
      </c>
      <c r="C2269" s="5">
        <v>558979.0</v>
      </c>
      <c r="D2269" s="8" t="str">
        <f>+39.916670°</f>
        <v>#ERROR!</v>
      </c>
      <c r="E2269" s="7" t="s">
        <v>3744</v>
      </c>
    </row>
    <row r="2270">
      <c r="A2270" s="3" t="s">
        <v>3709</v>
      </c>
      <c r="B2270" s="4" t="s">
        <v>1616</v>
      </c>
      <c r="C2270" s="5">
        <v>31946.0</v>
      </c>
      <c r="D2270" s="8" t="str">
        <f>+41.427334°</f>
        <v>#ERROR!</v>
      </c>
      <c r="E2270" s="7" t="s">
        <v>3745</v>
      </c>
    </row>
    <row r="2271">
      <c r="A2271" s="3" t="s">
        <v>3709</v>
      </c>
      <c r="B2271" s="4" t="s">
        <v>3091</v>
      </c>
      <c r="C2271" s="5">
        <v>280566.0</v>
      </c>
      <c r="D2271" s="8" t="str">
        <f>+42.117952°</f>
        <v>#ERROR!</v>
      </c>
      <c r="E2271" s="7" t="s">
        <v>3746</v>
      </c>
    </row>
    <row r="2272">
      <c r="A2272" s="3" t="s">
        <v>3709</v>
      </c>
      <c r="B2272" s="4" t="s">
        <v>87</v>
      </c>
      <c r="C2272" s="5">
        <v>136606.0</v>
      </c>
      <c r="D2272" s="8" t="str">
        <f>+39.914115°</f>
        <v>#ERROR!</v>
      </c>
      <c r="E2272" s="7" t="s">
        <v>3747</v>
      </c>
    </row>
    <row r="2273">
      <c r="A2273" s="3" t="s">
        <v>3709</v>
      </c>
      <c r="B2273" s="4" t="s">
        <v>3748</v>
      </c>
      <c r="C2273" s="5">
        <v>7716.0</v>
      </c>
      <c r="D2273" s="8" t="str">
        <f>+41.513304°</f>
        <v>#ERROR!</v>
      </c>
      <c r="E2273" s="7" t="s">
        <v>3749</v>
      </c>
    </row>
    <row r="2274">
      <c r="A2274" s="3" t="s">
        <v>3709</v>
      </c>
      <c r="B2274" s="4" t="s">
        <v>90</v>
      </c>
      <c r="C2274" s="5">
        <v>149618.0</v>
      </c>
      <c r="D2274" s="8" t="str">
        <f>+39.926686°</f>
        <v>#ERROR!</v>
      </c>
      <c r="E2274" s="7" t="s">
        <v>3750</v>
      </c>
    </row>
    <row r="2275">
      <c r="A2275" s="3" t="s">
        <v>3709</v>
      </c>
      <c r="B2275" s="4" t="s">
        <v>317</v>
      </c>
      <c r="C2275" s="5">
        <v>14845.0</v>
      </c>
      <c r="D2275" s="8" t="str">
        <f>+39.910751°</f>
        <v>#ERROR!</v>
      </c>
      <c r="E2275" s="7" t="s">
        <v>3751</v>
      </c>
    </row>
    <row r="2276">
      <c r="A2276" s="3" t="s">
        <v>3709</v>
      </c>
      <c r="B2276" s="4" t="s">
        <v>96</v>
      </c>
      <c r="C2276" s="5">
        <v>38686.0</v>
      </c>
      <c r="D2276" s="8" t="str">
        <f>+39.848983°</f>
        <v>#ERROR!</v>
      </c>
      <c r="E2276" s="7" t="s">
        <v>3752</v>
      </c>
    </row>
    <row r="2277">
      <c r="A2277" s="3" t="s">
        <v>3709</v>
      </c>
      <c r="B2277" s="4" t="s">
        <v>3753</v>
      </c>
      <c r="C2277" s="5">
        <v>45913.0</v>
      </c>
      <c r="D2277" s="8" t="str">
        <f>+40.422321°</f>
        <v>#ERROR!</v>
      </c>
      <c r="E2277" s="7" t="s">
        <v>3754</v>
      </c>
    </row>
    <row r="2278">
      <c r="A2278" s="3" t="s">
        <v>3709</v>
      </c>
      <c r="B2278" s="4" t="s">
        <v>3755</v>
      </c>
      <c r="C2278" s="5">
        <v>88880.0</v>
      </c>
      <c r="D2278" s="8" t="str">
        <f>+40.651432°</f>
        <v>#ERROR!</v>
      </c>
      <c r="E2278" s="7" t="s">
        <v>3756</v>
      </c>
    </row>
    <row r="2279">
      <c r="A2279" s="3" t="s">
        <v>3709</v>
      </c>
      <c r="B2279" s="4" t="s">
        <v>111</v>
      </c>
      <c r="C2279" s="5">
        <v>45200.0</v>
      </c>
      <c r="D2279" s="8" t="str">
        <f>+41.130287°</f>
        <v>#ERROR!</v>
      </c>
      <c r="E2279" s="7" t="s">
        <v>3757</v>
      </c>
    </row>
    <row r="2280">
      <c r="A2280" s="3" t="s">
        <v>3709</v>
      </c>
      <c r="B2280" s="4" t="s">
        <v>3758</v>
      </c>
      <c r="C2280" s="5">
        <v>24636.0</v>
      </c>
      <c r="D2280" s="8" t="str">
        <f>+40.530673°</f>
        <v>#ERROR!</v>
      </c>
      <c r="E2280" s="7" t="s">
        <v>3759</v>
      </c>
    </row>
    <row r="2281">
      <c r="A2281" s="3" t="s">
        <v>3709</v>
      </c>
      <c r="B2281" s="4" t="s">
        <v>3760</v>
      </c>
      <c r="C2281" s="5">
        <v>214437.0</v>
      </c>
      <c r="D2281" s="8" t="str">
        <f>+41.440250°</f>
        <v>#ERROR!</v>
      </c>
      <c r="E2281" s="7" t="s">
        <v>3761</v>
      </c>
    </row>
    <row r="2282">
      <c r="A2282" s="3" t="s">
        <v>3709</v>
      </c>
      <c r="B2282" s="4" t="s">
        <v>2875</v>
      </c>
      <c r="C2282" s="5">
        <v>519445.0</v>
      </c>
      <c r="D2282" s="8" t="str">
        <f>+40.041992°</f>
        <v>#ERROR!</v>
      </c>
      <c r="E2282" s="7" t="s">
        <v>3762</v>
      </c>
    </row>
    <row r="2283">
      <c r="A2283" s="3" t="s">
        <v>3709</v>
      </c>
      <c r="B2283" s="4" t="s">
        <v>120</v>
      </c>
      <c r="C2283" s="5">
        <v>91108.0</v>
      </c>
      <c r="D2283" s="8" t="str">
        <f>+40.992735°</f>
        <v>#ERROR!</v>
      </c>
      <c r="E2283" s="7" t="s">
        <v>3763</v>
      </c>
    </row>
    <row r="2284">
      <c r="A2284" s="3" t="s">
        <v>3709</v>
      </c>
      <c r="B2284" s="4" t="s">
        <v>3764</v>
      </c>
      <c r="C2284" s="5">
        <v>133568.0</v>
      </c>
      <c r="D2284" s="8" t="str">
        <f>+40.367344°</f>
        <v>#ERROR!</v>
      </c>
      <c r="E2284" s="7" t="s">
        <v>3765</v>
      </c>
    </row>
    <row r="2285">
      <c r="A2285" s="3" t="s">
        <v>3709</v>
      </c>
      <c r="B2285" s="4" t="s">
        <v>3766</v>
      </c>
      <c r="C2285" s="5">
        <v>349497.0</v>
      </c>
      <c r="D2285" s="8" t="str">
        <f>+40.614241°</f>
        <v>#ERROR!</v>
      </c>
      <c r="E2285" s="7" t="s">
        <v>3767</v>
      </c>
    </row>
    <row r="2286">
      <c r="A2286" s="3" t="s">
        <v>3709</v>
      </c>
      <c r="B2286" s="4" t="s">
        <v>3768</v>
      </c>
      <c r="C2286" s="5">
        <v>320918.0</v>
      </c>
      <c r="D2286" s="8" t="str">
        <f>+41.172787°</f>
        <v>#ERROR!</v>
      </c>
      <c r="E2286" s="7" t="s">
        <v>3769</v>
      </c>
    </row>
    <row r="2287">
      <c r="A2287" s="3" t="s">
        <v>3709</v>
      </c>
      <c r="B2287" s="4" t="s">
        <v>3770</v>
      </c>
      <c r="C2287" s="5">
        <v>116111.0</v>
      </c>
      <c r="D2287" s="8" t="str">
        <f>+41.343624°</f>
        <v>#ERROR!</v>
      </c>
      <c r="E2287" s="7" t="s">
        <v>3771</v>
      </c>
    </row>
    <row r="2288">
      <c r="A2288" s="3" t="s">
        <v>3709</v>
      </c>
      <c r="B2288" s="4" t="s">
        <v>3772</v>
      </c>
      <c r="C2288" s="5">
        <v>43450.0</v>
      </c>
      <c r="D2288" s="8" t="str">
        <f>+41.814590°</f>
        <v>#ERROR!</v>
      </c>
      <c r="E2288" s="7" t="s">
        <v>3773</v>
      </c>
    </row>
    <row r="2289">
      <c r="A2289" s="3" t="s">
        <v>3709</v>
      </c>
      <c r="B2289" s="4" t="s">
        <v>1244</v>
      </c>
      <c r="C2289" s="5">
        <v>116638.0</v>
      </c>
      <c r="D2289" s="8" t="str">
        <f>+41.300014°</f>
        <v>#ERROR!</v>
      </c>
      <c r="E2289" s="7" t="s">
        <v>3774</v>
      </c>
    </row>
    <row r="2290">
      <c r="A2290" s="3" t="s">
        <v>3709</v>
      </c>
      <c r="B2290" s="4" t="s">
        <v>3775</v>
      </c>
      <c r="C2290" s="5">
        <v>46682.0</v>
      </c>
      <c r="D2290" s="8" t="str">
        <f>+40.611890°</f>
        <v>#ERROR!</v>
      </c>
      <c r="E2290" s="7" t="s">
        <v>3776</v>
      </c>
    </row>
    <row r="2291">
      <c r="A2291" s="3" t="s">
        <v>3709</v>
      </c>
      <c r="B2291" s="4" t="s">
        <v>147</v>
      </c>
      <c r="C2291" s="5">
        <v>169842.0</v>
      </c>
      <c r="D2291" s="8" t="str">
        <f>+41.056233°</f>
        <v>#ERROR!</v>
      </c>
      <c r="E2291" s="7" t="s">
        <v>3777</v>
      </c>
    </row>
    <row r="2292">
      <c r="A2292" s="3" t="s">
        <v>3709</v>
      </c>
      <c r="B2292" s="4" t="s">
        <v>149</v>
      </c>
      <c r="C2292" s="5">
        <v>799874.0</v>
      </c>
      <c r="D2292" s="8" t="str">
        <f>+40.209999°</f>
        <v>#ERROR!</v>
      </c>
      <c r="E2292" s="7" t="s">
        <v>3778</v>
      </c>
    </row>
    <row r="2293">
      <c r="A2293" s="3" t="s">
        <v>3709</v>
      </c>
      <c r="B2293" s="4" t="s">
        <v>3779</v>
      </c>
      <c r="C2293" s="5">
        <v>18267.0</v>
      </c>
      <c r="D2293" s="8" t="str">
        <f>+41.029261°</f>
        <v>#ERROR!</v>
      </c>
      <c r="E2293" s="7" t="s">
        <v>3780</v>
      </c>
    </row>
    <row r="2294">
      <c r="A2294" s="3" t="s">
        <v>3709</v>
      </c>
      <c r="B2294" s="4" t="s">
        <v>3270</v>
      </c>
      <c r="C2294" s="5">
        <v>297735.0</v>
      </c>
      <c r="D2294" s="8" t="str">
        <f>+40.752791°</f>
        <v>#ERROR!</v>
      </c>
      <c r="E2294" s="7" t="s">
        <v>3781</v>
      </c>
    </row>
    <row r="2295">
      <c r="A2295" s="3" t="s">
        <v>3709</v>
      </c>
      <c r="B2295" s="4" t="s">
        <v>3782</v>
      </c>
      <c r="C2295" s="5">
        <v>94528.0</v>
      </c>
      <c r="D2295" s="8" t="str">
        <f>+40.851524°</f>
        <v>#ERROR!</v>
      </c>
      <c r="E2295" s="7" t="s">
        <v>3783</v>
      </c>
    </row>
    <row r="2296">
      <c r="A2296" s="3" t="s">
        <v>3709</v>
      </c>
      <c r="B2296" s="4" t="s">
        <v>153</v>
      </c>
      <c r="C2296" s="5">
        <v>45969.0</v>
      </c>
      <c r="D2296" s="8" t="str">
        <f>+40.397780°</f>
        <v>#ERROR!</v>
      </c>
      <c r="E2296" s="7" t="s">
        <v>3784</v>
      </c>
    </row>
    <row r="2297">
      <c r="A2297" s="3" t="s">
        <v>3709</v>
      </c>
      <c r="B2297" s="4" t="s">
        <v>3785</v>
      </c>
      <c r="C2297" s="5">
        <v>1526006.0</v>
      </c>
      <c r="D2297" s="8" t="str">
        <f>+40.009376°</f>
        <v>#ERROR!</v>
      </c>
      <c r="E2297" s="7" t="s">
        <v>3786</v>
      </c>
    </row>
    <row r="2298">
      <c r="A2298" s="3" t="s">
        <v>3709</v>
      </c>
      <c r="B2298" s="4" t="s">
        <v>157</v>
      </c>
      <c r="C2298" s="5">
        <v>57369.0</v>
      </c>
      <c r="D2298" s="8" t="str">
        <f>+41.325949°</f>
        <v>#ERROR!</v>
      </c>
      <c r="E2298" s="7" t="s">
        <v>3787</v>
      </c>
    </row>
    <row r="2299">
      <c r="A2299" s="3" t="s">
        <v>3709</v>
      </c>
      <c r="B2299" s="4" t="s">
        <v>3788</v>
      </c>
      <c r="C2299" s="5">
        <v>17457.0</v>
      </c>
      <c r="D2299" s="8" t="str">
        <f>+41.748222°</f>
        <v>#ERROR!</v>
      </c>
      <c r="E2299" s="7" t="s">
        <v>3789</v>
      </c>
    </row>
    <row r="2300">
      <c r="A2300" s="3" t="s">
        <v>3709</v>
      </c>
      <c r="B2300" s="4" t="s">
        <v>3790</v>
      </c>
      <c r="C2300" s="5">
        <v>148289.0</v>
      </c>
      <c r="D2300" s="8" t="str">
        <f>+40.703690°</f>
        <v>#ERROR!</v>
      </c>
      <c r="E2300" s="7" t="s">
        <v>3791</v>
      </c>
    </row>
    <row r="2301">
      <c r="A2301" s="3" t="s">
        <v>3709</v>
      </c>
      <c r="B2301" s="4" t="s">
        <v>3792</v>
      </c>
      <c r="C2301" s="5">
        <v>39702.0</v>
      </c>
      <c r="D2301" s="8" t="str">
        <f>+40.755348°</f>
        <v>#ERROR!</v>
      </c>
      <c r="E2301" s="7" t="s">
        <v>3793</v>
      </c>
    </row>
    <row r="2302">
      <c r="A2302" s="3" t="s">
        <v>3709</v>
      </c>
      <c r="B2302" s="4" t="s">
        <v>2060</v>
      </c>
      <c r="C2302" s="5">
        <v>77742.0</v>
      </c>
      <c r="D2302" s="8" t="str">
        <f>+39.981297°</f>
        <v>#ERROR!</v>
      </c>
      <c r="E2302" s="7" t="s">
        <v>3794</v>
      </c>
    </row>
    <row r="2303">
      <c r="A2303" s="3" t="s">
        <v>3709</v>
      </c>
      <c r="B2303" s="4" t="s">
        <v>1408</v>
      </c>
      <c r="C2303" s="5">
        <v>6428.0</v>
      </c>
      <c r="D2303" s="8" t="str">
        <f>+41.439790°</f>
        <v>#ERROR!</v>
      </c>
      <c r="E2303" s="7" t="s">
        <v>3795</v>
      </c>
    </row>
    <row r="2304">
      <c r="A2304" s="3" t="s">
        <v>3709</v>
      </c>
      <c r="B2304" s="4" t="s">
        <v>3796</v>
      </c>
      <c r="C2304" s="5">
        <v>43356.0</v>
      </c>
      <c r="D2304" s="8" t="str">
        <f>+41.819665°</f>
        <v>#ERROR!</v>
      </c>
      <c r="E2304" s="7" t="s">
        <v>3797</v>
      </c>
    </row>
    <row r="2305">
      <c r="A2305" s="3" t="s">
        <v>3709</v>
      </c>
      <c r="B2305" s="4" t="s">
        <v>3147</v>
      </c>
      <c r="C2305" s="5">
        <v>41981.0</v>
      </c>
      <c r="D2305" s="8" t="str">
        <f>+41.766859°</f>
        <v>#ERROR!</v>
      </c>
      <c r="E2305" s="7" t="s">
        <v>3798</v>
      </c>
    </row>
    <row r="2306">
      <c r="A2306" s="3" t="s">
        <v>3709</v>
      </c>
      <c r="B2306" s="4" t="s">
        <v>395</v>
      </c>
      <c r="C2306" s="5">
        <v>44947.0</v>
      </c>
      <c r="D2306" s="8" t="str">
        <f>+40.962179°</f>
        <v>#ERROR!</v>
      </c>
      <c r="E2306" s="7" t="s">
        <v>3799</v>
      </c>
    </row>
    <row r="2307">
      <c r="A2307" s="3" t="s">
        <v>3709</v>
      </c>
      <c r="B2307" s="4" t="s">
        <v>3800</v>
      </c>
      <c r="C2307" s="5">
        <v>54984.0</v>
      </c>
      <c r="D2307" s="8" t="str">
        <f>+41.401980°</f>
        <v>#ERROR!</v>
      </c>
      <c r="E2307" s="7" t="s">
        <v>3801</v>
      </c>
    </row>
    <row r="2308">
      <c r="A2308" s="3" t="s">
        <v>3709</v>
      </c>
      <c r="B2308" s="4" t="s">
        <v>1035</v>
      </c>
      <c r="C2308" s="5">
        <v>41815.0</v>
      </c>
      <c r="D2308" s="8" t="str">
        <f>+41.843669°</f>
        <v>#ERROR!</v>
      </c>
      <c r="E2308" s="7" t="s">
        <v>3802</v>
      </c>
    </row>
    <row r="2309">
      <c r="A2309" s="3" t="s">
        <v>3709</v>
      </c>
      <c r="B2309" s="4" t="s">
        <v>177</v>
      </c>
      <c r="C2309" s="5">
        <v>207820.0</v>
      </c>
      <c r="D2309" s="8" t="str">
        <f>+40.200005°</f>
        <v>#ERROR!</v>
      </c>
      <c r="E2309" s="7" t="s">
        <v>3803</v>
      </c>
    </row>
    <row r="2310">
      <c r="A2310" s="3" t="s">
        <v>3709</v>
      </c>
      <c r="B2310" s="4" t="s">
        <v>1038</v>
      </c>
      <c r="C2310" s="5">
        <v>52822.0</v>
      </c>
      <c r="D2310" s="8" t="str">
        <f>+41.646589°</f>
        <v>#ERROR!</v>
      </c>
      <c r="E2310" s="7" t="s">
        <v>3804</v>
      </c>
    </row>
    <row r="2311">
      <c r="A2311" s="3" t="s">
        <v>3709</v>
      </c>
      <c r="B2311" s="4" t="s">
        <v>3805</v>
      </c>
      <c r="C2311" s="5">
        <v>365169.0</v>
      </c>
      <c r="D2311" s="8" t="str">
        <f>+40.311068°</f>
        <v>#ERROR!</v>
      </c>
      <c r="E2311" s="7" t="s">
        <v>3806</v>
      </c>
    </row>
    <row r="2312">
      <c r="A2312" s="3" t="s">
        <v>3709</v>
      </c>
      <c r="B2312" s="4" t="s">
        <v>3158</v>
      </c>
      <c r="C2312" s="5">
        <v>28276.0</v>
      </c>
      <c r="D2312" s="8" t="str">
        <f>+41.525137°</f>
        <v>#ERROR!</v>
      </c>
      <c r="E2312" s="7" t="s">
        <v>3807</v>
      </c>
    </row>
    <row r="2313">
      <c r="A2313" s="3" t="s">
        <v>3709</v>
      </c>
      <c r="B2313" s="4" t="s">
        <v>2065</v>
      </c>
      <c r="C2313" s="5">
        <v>434972.0</v>
      </c>
      <c r="D2313" s="8" t="str">
        <f>+39.921839°</f>
        <v>#ERROR!</v>
      </c>
      <c r="E2313" s="7" t="s">
        <v>3808</v>
      </c>
    </row>
    <row r="2314">
      <c r="A2314" s="3" t="s">
        <v>3809</v>
      </c>
      <c r="B2314" s="4" t="s">
        <v>3810</v>
      </c>
      <c r="C2314" s="5">
        <v>49875.0</v>
      </c>
      <c r="D2314" s="8" t="str">
        <f>+41.705271°</f>
        <v>#ERROR!</v>
      </c>
      <c r="E2314" s="7" t="s">
        <v>3811</v>
      </c>
    </row>
    <row r="2315">
      <c r="A2315" s="3" t="s">
        <v>3809</v>
      </c>
      <c r="B2315" s="4" t="s">
        <v>3812</v>
      </c>
      <c r="C2315" s="5">
        <v>166158.0</v>
      </c>
      <c r="D2315" s="8" t="str">
        <f>+41.677750°</f>
        <v>#ERROR!</v>
      </c>
      <c r="E2315" s="7" t="s">
        <v>3813</v>
      </c>
    </row>
    <row r="2316">
      <c r="A2316" s="3" t="s">
        <v>3809</v>
      </c>
      <c r="B2316" s="4" t="s">
        <v>3814</v>
      </c>
      <c r="C2316" s="5">
        <v>82888.0</v>
      </c>
      <c r="D2316" s="8" t="str">
        <f>+41.502732°</f>
        <v>#ERROR!</v>
      </c>
      <c r="E2316" s="7" t="s">
        <v>3815</v>
      </c>
    </row>
    <row r="2317">
      <c r="A2317" s="3" t="s">
        <v>3809</v>
      </c>
      <c r="B2317" s="4" t="s">
        <v>3816</v>
      </c>
      <c r="C2317" s="5">
        <v>626667.0</v>
      </c>
      <c r="D2317" s="8" t="str">
        <f>+41.870488°</f>
        <v>#ERROR!</v>
      </c>
      <c r="E2317" s="7" t="s">
        <v>3817</v>
      </c>
    </row>
    <row r="2318">
      <c r="A2318" s="3" t="s">
        <v>3809</v>
      </c>
      <c r="B2318" s="4" t="s">
        <v>3818</v>
      </c>
      <c r="C2318" s="5">
        <v>126979.0</v>
      </c>
      <c r="D2318" s="8" t="str">
        <f>+41.401162°</f>
        <v>#ERROR!</v>
      </c>
      <c r="E2318" s="7" t="s">
        <v>3819</v>
      </c>
    </row>
    <row r="2319">
      <c r="A2319" s="3" t="s">
        <v>3820</v>
      </c>
      <c r="B2319" s="4" t="s">
        <v>3821</v>
      </c>
      <c r="C2319" s="5">
        <v>25417.0</v>
      </c>
      <c r="D2319" s="8" t="str">
        <f>+34.213809°</f>
        <v>#ERROR!</v>
      </c>
      <c r="E2319" s="7" t="s">
        <v>3822</v>
      </c>
    </row>
    <row r="2320">
      <c r="A2320" s="3" t="s">
        <v>3820</v>
      </c>
      <c r="B2320" s="4" t="s">
        <v>3823</v>
      </c>
      <c r="C2320" s="5">
        <v>160099.0</v>
      </c>
      <c r="D2320" s="8" t="str">
        <f>+33.549317°</f>
        <v>#ERROR!</v>
      </c>
      <c r="E2320" s="7" t="s">
        <v>3824</v>
      </c>
    </row>
    <row r="2321">
      <c r="A2321" s="3" t="s">
        <v>3820</v>
      </c>
      <c r="B2321" s="4" t="s">
        <v>3825</v>
      </c>
      <c r="C2321" s="5">
        <v>10419.0</v>
      </c>
      <c r="D2321" s="8" t="str">
        <f>+32.979784°</f>
        <v>#ERROR!</v>
      </c>
      <c r="E2321" s="7" t="s">
        <v>3826</v>
      </c>
    </row>
    <row r="2322">
      <c r="A2322" s="3" t="s">
        <v>3820</v>
      </c>
      <c r="B2322" s="4" t="s">
        <v>1581</v>
      </c>
      <c r="C2322" s="5">
        <v>187126.0</v>
      </c>
      <c r="D2322" s="8" t="str">
        <f>+34.519549°</f>
        <v>#ERROR!</v>
      </c>
      <c r="E2322" s="7" t="s">
        <v>3827</v>
      </c>
    </row>
    <row r="2323">
      <c r="A2323" s="3" t="s">
        <v>3820</v>
      </c>
      <c r="B2323" s="4" t="s">
        <v>3828</v>
      </c>
      <c r="C2323" s="5">
        <v>15987.0</v>
      </c>
      <c r="D2323" s="8" t="str">
        <f>+33.203021°</f>
        <v>#ERROR!</v>
      </c>
      <c r="E2323" s="7" t="s">
        <v>3829</v>
      </c>
    </row>
    <row r="2324">
      <c r="A2324" s="3" t="s">
        <v>3820</v>
      </c>
      <c r="B2324" s="4" t="s">
        <v>3830</v>
      </c>
      <c r="C2324" s="5">
        <v>22621.0</v>
      </c>
      <c r="D2324" s="8" t="str">
        <f>+33.260680°</f>
        <v>#ERROR!</v>
      </c>
      <c r="E2324" s="7" t="s">
        <v>3831</v>
      </c>
    </row>
    <row r="2325">
      <c r="A2325" s="3" t="s">
        <v>3820</v>
      </c>
      <c r="B2325" s="4" t="s">
        <v>3174</v>
      </c>
      <c r="C2325" s="5">
        <v>162233.0</v>
      </c>
      <c r="D2325" s="8" t="str">
        <f>+32.358147°</f>
        <v>#ERROR!</v>
      </c>
      <c r="E2325" s="7" t="s">
        <v>3832</v>
      </c>
    </row>
    <row r="2326">
      <c r="A2326" s="3" t="s">
        <v>3820</v>
      </c>
      <c r="B2326" s="4" t="s">
        <v>3833</v>
      </c>
      <c r="C2326" s="5">
        <v>177843.0</v>
      </c>
      <c r="D2326" s="8" t="str">
        <f>+33.207700°</f>
        <v>#ERROR!</v>
      </c>
      <c r="E2326" s="7" t="s">
        <v>3834</v>
      </c>
    </row>
    <row r="2327">
      <c r="A2327" s="3" t="s">
        <v>3820</v>
      </c>
      <c r="B2327" s="4" t="s">
        <v>27</v>
      </c>
      <c r="C2327" s="5">
        <v>15175.0</v>
      </c>
      <c r="D2327" s="8" t="str">
        <f>+33.674780°</f>
        <v>#ERROR!</v>
      </c>
      <c r="E2327" s="7" t="s">
        <v>3835</v>
      </c>
    </row>
    <row r="2328">
      <c r="A2328" s="3" t="s">
        <v>3820</v>
      </c>
      <c r="B2328" s="4" t="s">
        <v>3836</v>
      </c>
      <c r="C2328" s="5">
        <v>350209.0</v>
      </c>
      <c r="D2328" s="8" t="str">
        <f>+32.800458°</f>
        <v>#ERROR!</v>
      </c>
      <c r="E2328" s="7" t="s">
        <v>3837</v>
      </c>
    </row>
    <row r="2329">
      <c r="A2329" s="3" t="s">
        <v>3820</v>
      </c>
      <c r="B2329" s="4" t="s">
        <v>835</v>
      </c>
      <c r="C2329" s="5">
        <v>55342.0</v>
      </c>
      <c r="D2329" s="8" t="str">
        <f>+35.049796°</f>
        <v>#ERROR!</v>
      </c>
      <c r="E2329" s="7" t="s">
        <v>3838</v>
      </c>
    </row>
    <row r="2330">
      <c r="A2330" s="3" t="s">
        <v>3820</v>
      </c>
      <c r="B2330" s="4" t="s">
        <v>3732</v>
      </c>
      <c r="C2330" s="5">
        <v>33140.0</v>
      </c>
      <c r="D2330" s="8" t="str">
        <f>+34.689345°</f>
        <v>#ERROR!</v>
      </c>
      <c r="E2330" s="7" t="s">
        <v>3839</v>
      </c>
    </row>
    <row r="2331">
      <c r="A2331" s="3" t="s">
        <v>3820</v>
      </c>
      <c r="B2331" s="4" t="s">
        <v>3840</v>
      </c>
      <c r="C2331" s="5">
        <v>46734.0</v>
      </c>
      <c r="D2331" s="8" t="str">
        <f>+34.637018°</f>
        <v>#ERROR!</v>
      </c>
      <c r="E2331" s="7" t="s">
        <v>3841</v>
      </c>
    </row>
    <row r="2332">
      <c r="A2332" s="3" t="s">
        <v>3820</v>
      </c>
      <c r="B2332" s="4" t="s">
        <v>3842</v>
      </c>
      <c r="C2332" s="5">
        <v>34971.0</v>
      </c>
      <c r="D2332" s="8" t="str">
        <f>+33.664682°</f>
        <v>#ERROR!</v>
      </c>
      <c r="E2332" s="7" t="s">
        <v>3843</v>
      </c>
    </row>
    <row r="2333">
      <c r="A2333" s="3" t="s">
        <v>3820</v>
      </c>
      <c r="B2333" s="4" t="s">
        <v>3844</v>
      </c>
      <c r="C2333" s="5">
        <v>38892.0</v>
      </c>
      <c r="D2333" s="8" t="str">
        <f>+32.834980°</f>
        <v>#ERROR!</v>
      </c>
      <c r="E2333" s="7" t="s">
        <v>3845</v>
      </c>
    </row>
    <row r="2334">
      <c r="A2334" s="3" t="s">
        <v>3820</v>
      </c>
      <c r="B2334" s="4" t="s">
        <v>3846</v>
      </c>
      <c r="C2334" s="5">
        <v>68681.0</v>
      </c>
      <c r="D2334" s="8" t="str">
        <f>+34.332185°</f>
        <v>#ERROR!</v>
      </c>
      <c r="E2334" s="7" t="s">
        <v>3847</v>
      </c>
    </row>
    <row r="2335">
      <c r="A2335" s="3" t="s">
        <v>3820</v>
      </c>
      <c r="B2335" s="4" t="s">
        <v>3848</v>
      </c>
      <c r="C2335" s="5">
        <v>32062.0</v>
      </c>
      <c r="D2335" s="8" t="str">
        <f>+34.390172°</f>
        <v>#ERROR!</v>
      </c>
      <c r="E2335" s="7" t="s">
        <v>3849</v>
      </c>
    </row>
    <row r="2336">
      <c r="A2336" s="3" t="s">
        <v>3820</v>
      </c>
      <c r="B2336" s="4" t="s">
        <v>2083</v>
      </c>
      <c r="C2336" s="5">
        <v>136555.0</v>
      </c>
      <c r="D2336" s="8" t="str">
        <f>+33.082186°</f>
        <v>#ERROR!</v>
      </c>
      <c r="E2336" s="7" t="s">
        <v>3850</v>
      </c>
    </row>
    <row r="2337">
      <c r="A2337" s="3" t="s">
        <v>3820</v>
      </c>
      <c r="B2337" s="4" t="s">
        <v>3851</v>
      </c>
      <c r="C2337" s="5">
        <v>26985.0</v>
      </c>
      <c r="D2337" s="8" t="str">
        <f>+33.776498°</f>
        <v>#ERROR!</v>
      </c>
      <c r="E2337" s="7" t="s">
        <v>3852</v>
      </c>
    </row>
    <row r="2338">
      <c r="A2338" s="3" t="s">
        <v>3820</v>
      </c>
      <c r="B2338" s="4" t="s">
        <v>3446</v>
      </c>
      <c r="C2338" s="5">
        <v>23956.0</v>
      </c>
      <c r="D2338" s="8" t="str">
        <f>+34.395669°</f>
        <v>#ERROR!</v>
      </c>
      <c r="E2338" s="7" t="s">
        <v>3853</v>
      </c>
    </row>
    <row r="2339">
      <c r="A2339" s="3" t="s">
        <v>3820</v>
      </c>
      <c r="B2339" s="4" t="s">
        <v>3854</v>
      </c>
      <c r="C2339" s="5">
        <v>136885.0</v>
      </c>
      <c r="D2339" s="8" t="str">
        <f>+34.028535°</f>
        <v>#ERROR!</v>
      </c>
      <c r="E2339" s="7" t="s">
        <v>3855</v>
      </c>
    </row>
    <row r="2340">
      <c r="A2340" s="3" t="s">
        <v>3820</v>
      </c>
      <c r="B2340" s="4" t="s">
        <v>3856</v>
      </c>
      <c r="C2340" s="5">
        <v>60158.0</v>
      </c>
      <c r="D2340" s="8" t="str">
        <f>+33.417530°</f>
        <v>#ERROR!</v>
      </c>
      <c r="E2340" s="7" t="s">
        <v>3857</v>
      </c>
    </row>
    <row r="2341">
      <c r="A2341" s="3" t="s">
        <v>3820</v>
      </c>
      <c r="B2341" s="4" t="s">
        <v>3858</v>
      </c>
      <c r="C2341" s="5">
        <v>451225.0</v>
      </c>
      <c r="D2341" s="8" t="str">
        <f>+34.892645°</f>
        <v>#ERROR!</v>
      </c>
      <c r="E2341" s="7" t="s">
        <v>3859</v>
      </c>
    </row>
    <row r="2342">
      <c r="A2342" s="3" t="s">
        <v>3820</v>
      </c>
      <c r="B2342" s="4" t="s">
        <v>1636</v>
      </c>
      <c r="C2342" s="5">
        <v>69661.0</v>
      </c>
      <c r="D2342" s="8" t="str">
        <f>+34.155796°</f>
        <v>#ERROR!</v>
      </c>
      <c r="E2342" s="7" t="s">
        <v>3860</v>
      </c>
    </row>
    <row r="2343">
      <c r="A2343" s="3" t="s">
        <v>3820</v>
      </c>
      <c r="B2343" s="4" t="s">
        <v>3861</v>
      </c>
      <c r="C2343" s="5">
        <v>21090.0</v>
      </c>
      <c r="D2343" s="8" t="str">
        <f>+32.778323°</f>
        <v>#ERROR!</v>
      </c>
      <c r="E2343" s="7" t="s">
        <v>3862</v>
      </c>
    </row>
    <row r="2344">
      <c r="A2344" s="3" t="s">
        <v>3820</v>
      </c>
      <c r="B2344" s="4" t="s">
        <v>3863</v>
      </c>
      <c r="C2344" s="5">
        <v>269291.0</v>
      </c>
      <c r="D2344" s="8" t="str">
        <f>+33.909269°</f>
        <v>#ERROR!</v>
      </c>
      <c r="E2344" s="7" t="s">
        <v>3864</v>
      </c>
    </row>
    <row r="2345">
      <c r="A2345" s="3" t="s">
        <v>3820</v>
      </c>
      <c r="B2345" s="4" t="s">
        <v>922</v>
      </c>
      <c r="C2345" s="5">
        <v>24777.0</v>
      </c>
      <c r="D2345" s="8" t="str">
        <f>+32.430590°</f>
        <v>#ERROR!</v>
      </c>
      <c r="E2345" s="7" t="s">
        <v>3865</v>
      </c>
    </row>
    <row r="2346">
      <c r="A2346" s="3" t="s">
        <v>3820</v>
      </c>
      <c r="B2346" s="4" t="s">
        <v>3866</v>
      </c>
      <c r="C2346" s="5">
        <v>61697.0</v>
      </c>
      <c r="D2346" s="8" t="str">
        <f>+34.338356°</f>
        <v>#ERROR!</v>
      </c>
      <c r="E2346" s="7" t="s">
        <v>3867</v>
      </c>
    </row>
    <row r="2347">
      <c r="A2347" s="3" t="s">
        <v>3820</v>
      </c>
      <c r="B2347" s="4" t="s">
        <v>2875</v>
      </c>
      <c r="C2347" s="5">
        <v>76652.0</v>
      </c>
      <c r="D2347" s="8" t="str">
        <f>+34.686818°</f>
        <v>#ERROR!</v>
      </c>
      <c r="E2347" s="7" t="s">
        <v>3868</v>
      </c>
    </row>
    <row r="2348">
      <c r="A2348" s="3" t="s">
        <v>3820</v>
      </c>
      <c r="B2348" s="4" t="s">
        <v>935</v>
      </c>
      <c r="C2348" s="5">
        <v>66537.0</v>
      </c>
      <c r="D2348" s="8" t="str">
        <f>+34.483477°</f>
        <v>#ERROR!</v>
      </c>
      <c r="E2348" s="7" t="s">
        <v>3869</v>
      </c>
    </row>
    <row r="2349">
      <c r="A2349" s="3" t="s">
        <v>3820</v>
      </c>
      <c r="B2349" s="4" t="s">
        <v>123</v>
      </c>
      <c r="C2349" s="5">
        <v>19220.0</v>
      </c>
      <c r="D2349" s="8" t="str">
        <f>+34.158640°</f>
        <v>#ERROR!</v>
      </c>
      <c r="E2349" s="7" t="s">
        <v>3870</v>
      </c>
    </row>
    <row r="2350">
      <c r="A2350" s="3" t="s">
        <v>3820</v>
      </c>
      <c r="B2350" s="4" t="s">
        <v>3871</v>
      </c>
      <c r="C2350" s="5">
        <v>262391.0</v>
      </c>
      <c r="D2350" s="8" t="str">
        <f>+33.892554°</f>
        <v>#ERROR!</v>
      </c>
      <c r="E2350" s="7" t="s">
        <v>3872</v>
      </c>
    </row>
    <row r="2351">
      <c r="A2351" s="3" t="s">
        <v>3820</v>
      </c>
      <c r="B2351" s="4" t="s">
        <v>3873</v>
      </c>
      <c r="C2351" s="5">
        <v>10233.0</v>
      </c>
      <c r="D2351" s="8" t="str">
        <f>+33.897605°</f>
        <v>#ERROR!</v>
      </c>
      <c r="E2351" s="7" t="s">
        <v>3874</v>
      </c>
    </row>
    <row r="2352">
      <c r="A2352" s="3" t="s">
        <v>3820</v>
      </c>
      <c r="B2352" s="4" t="s">
        <v>141</v>
      </c>
      <c r="C2352" s="5">
        <v>33062.0</v>
      </c>
      <c r="D2352" s="8" t="str">
        <f>+34.080701°</f>
        <v>#ERROR!</v>
      </c>
      <c r="E2352" s="7" t="s">
        <v>3875</v>
      </c>
    </row>
    <row r="2353">
      <c r="A2353" s="3" t="s">
        <v>3820</v>
      </c>
      <c r="B2353" s="4" t="s">
        <v>3876</v>
      </c>
      <c r="C2353" s="5">
        <v>28933.0</v>
      </c>
      <c r="D2353" s="8" t="str">
        <f>+34.601805°</f>
        <v>#ERROR!</v>
      </c>
      <c r="E2353" s="7" t="s">
        <v>3877</v>
      </c>
    </row>
    <row r="2354">
      <c r="A2354" s="3" t="s">
        <v>3820</v>
      </c>
      <c r="B2354" s="4" t="s">
        <v>3878</v>
      </c>
      <c r="C2354" s="5">
        <v>37508.0</v>
      </c>
      <c r="D2354" s="8" t="str">
        <f>+34.289730°</f>
        <v>#ERROR!</v>
      </c>
      <c r="E2354" s="7" t="s">
        <v>3879</v>
      </c>
    </row>
    <row r="2355">
      <c r="A2355" s="3" t="s">
        <v>3820</v>
      </c>
      <c r="B2355" s="4" t="s">
        <v>965</v>
      </c>
      <c r="C2355" s="5">
        <v>74273.0</v>
      </c>
      <c r="D2355" s="8" t="str">
        <f>+34.748759°</f>
        <v>#ERROR!</v>
      </c>
      <c r="E2355" s="7" t="s">
        <v>3880</v>
      </c>
    </row>
    <row r="2356">
      <c r="A2356" s="3" t="s">
        <v>3820</v>
      </c>
      <c r="B2356" s="4" t="s">
        <v>3881</v>
      </c>
      <c r="C2356" s="5">
        <v>92501.0</v>
      </c>
      <c r="D2356" s="8" t="str">
        <f>+33.436135°</f>
        <v>#ERROR!</v>
      </c>
      <c r="E2356" s="7" t="s">
        <v>3882</v>
      </c>
    </row>
    <row r="2357">
      <c r="A2357" s="3" t="s">
        <v>3820</v>
      </c>
      <c r="B2357" s="4" t="s">
        <v>155</v>
      </c>
      <c r="C2357" s="5">
        <v>119224.0</v>
      </c>
      <c r="D2357" s="8" t="str">
        <f>+34.887362°</f>
        <v>#ERROR!</v>
      </c>
      <c r="E2357" s="7" t="s">
        <v>3883</v>
      </c>
    </row>
    <row r="2358">
      <c r="A2358" s="3" t="s">
        <v>3820</v>
      </c>
      <c r="B2358" s="4" t="s">
        <v>1263</v>
      </c>
      <c r="C2358" s="5">
        <v>384504.0</v>
      </c>
      <c r="D2358" s="8" t="str">
        <f>+34.029783°</f>
        <v>#ERROR!</v>
      </c>
      <c r="E2358" s="7" t="s">
        <v>3884</v>
      </c>
    </row>
    <row r="2359">
      <c r="A2359" s="3" t="s">
        <v>3820</v>
      </c>
      <c r="B2359" s="4" t="s">
        <v>3885</v>
      </c>
      <c r="C2359" s="5">
        <v>19875.0</v>
      </c>
      <c r="D2359" s="8" t="str">
        <f>+34.005278°</f>
        <v>#ERROR!</v>
      </c>
      <c r="E2359" s="7" t="s">
        <v>3886</v>
      </c>
    </row>
    <row r="2360">
      <c r="A2360" s="3" t="s">
        <v>3820</v>
      </c>
      <c r="B2360" s="4" t="s">
        <v>3887</v>
      </c>
      <c r="C2360" s="5">
        <v>284307.0</v>
      </c>
      <c r="D2360" s="8" t="str">
        <f>+34.933239°</f>
        <v>#ERROR!</v>
      </c>
      <c r="E2360" s="7" t="s">
        <v>3888</v>
      </c>
    </row>
    <row r="2361">
      <c r="A2361" s="3" t="s">
        <v>3820</v>
      </c>
      <c r="B2361" s="4" t="s">
        <v>167</v>
      </c>
      <c r="C2361" s="5">
        <v>107456.0</v>
      </c>
      <c r="D2361" s="8" t="str">
        <f>+33.916046°</f>
        <v>#ERROR!</v>
      </c>
      <c r="E2361" s="7" t="s">
        <v>3889</v>
      </c>
    </row>
    <row r="2362">
      <c r="A2362" s="3" t="s">
        <v>3820</v>
      </c>
      <c r="B2362" s="4" t="s">
        <v>395</v>
      </c>
      <c r="C2362" s="5">
        <v>28961.0</v>
      </c>
      <c r="D2362" s="8" t="str">
        <f>+34.690514°</f>
        <v>#ERROR!</v>
      </c>
      <c r="E2362" s="7" t="s">
        <v>3890</v>
      </c>
    </row>
    <row r="2363">
      <c r="A2363" s="3" t="s">
        <v>3820</v>
      </c>
      <c r="B2363" s="4" t="s">
        <v>3891</v>
      </c>
      <c r="C2363" s="5">
        <v>34423.0</v>
      </c>
      <c r="D2363" s="8" t="str">
        <f>+33.626463°</f>
        <v>#ERROR!</v>
      </c>
      <c r="E2363" s="7" t="s">
        <v>3892</v>
      </c>
    </row>
    <row r="2364">
      <c r="A2364" s="3" t="s">
        <v>3820</v>
      </c>
      <c r="B2364" s="4" t="s">
        <v>2065</v>
      </c>
      <c r="C2364" s="5">
        <v>226073.0</v>
      </c>
      <c r="D2364" s="8" t="str">
        <f>+34.970190°</f>
        <v>#ERROR!</v>
      </c>
      <c r="E2364" s="7" t="s">
        <v>3893</v>
      </c>
    </row>
    <row r="2365">
      <c r="A2365" s="3" t="s">
        <v>3894</v>
      </c>
      <c r="B2365" s="4" t="s">
        <v>3895</v>
      </c>
      <c r="C2365" s="5">
        <v>2710.0</v>
      </c>
      <c r="D2365" s="8" t="str">
        <f>+43.724719°</f>
        <v>#ERROR!</v>
      </c>
      <c r="E2365" s="7" t="s">
        <v>3896</v>
      </c>
    </row>
    <row r="2366">
      <c r="A2366" s="3" t="s">
        <v>3894</v>
      </c>
      <c r="B2366" s="4" t="s">
        <v>3897</v>
      </c>
      <c r="C2366" s="5">
        <v>17398.0</v>
      </c>
      <c r="D2366" s="8" t="str">
        <f>+44.418265°</f>
        <v>#ERROR!</v>
      </c>
      <c r="E2366" s="7" t="s">
        <v>3898</v>
      </c>
    </row>
    <row r="2367">
      <c r="A2367" s="3" t="s">
        <v>3894</v>
      </c>
      <c r="B2367" s="4" t="s">
        <v>3899</v>
      </c>
      <c r="C2367" s="5">
        <v>3431.0</v>
      </c>
      <c r="D2367" s="8" t="str">
        <f>+43.184826°</f>
        <v>#ERROR!</v>
      </c>
      <c r="E2367" s="7" t="s">
        <v>3900</v>
      </c>
    </row>
    <row r="2368">
      <c r="A2368" s="3" t="s">
        <v>3894</v>
      </c>
      <c r="B2368" s="4" t="s">
        <v>3901</v>
      </c>
      <c r="C2368" s="5">
        <v>7070.0</v>
      </c>
      <c r="D2368" s="8" t="str">
        <f>+42.986031°</f>
        <v>#ERROR!</v>
      </c>
      <c r="E2368" s="7" t="s">
        <v>3902</v>
      </c>
    </row>
    <row r="2369">
      <c r="A2369" s="3" t="s">
        <v>3894</v>
      </c>
      <c r="B2369" s="4" t="s">
        <v>3903</v>
      </c>
      <c r="C2369" s="5">
        <v>31965.0</v>
      </c>
      <c r="D2369" s="8" t="str">
        <f>+44.376675°</f>
        <v>#ERROR!</v>
      </c>
      <c r="E2369" s="7" t="s">
        <v>3904</v>
      </c>
    </row>
    <row r="2370">
      <c r="A2370" s="3" t="s">
        <v>3894</v>
      </c>
      <c r="B2370" s="4" t="s">
        <v>1150</v>
      </c>
      <c r="C2370" s="5">
        <v>36531.0</v>
      </c>
      <c r="D2370" s="8" t="str">
        <f>+45.589254°</f>
        <v>#ERROR!</v>
      </c>
      <c r="E2370" s="7" t="s">
        <v>3905</v>
      </c>
    </row>
    <row r="2371">
      <c r="A2371" s="3" t="s">
        <v>3894</v>
      </c>
      <c r="B2371" s="4" t="s">
        <v>3906</v>
      </c>
      <c r="C2371" s="5">
        <v>5255.0</v>
      </c>
      <c r="D2371" s="8" t="str">
        <f>+43.729880°</f>
        <v>#ERROR!</v>
      </c>
      <c r="E2371" s="7" t="s">
        <v>3907</v>
      </c>
    </row>
    <row r="2372">
      <c r="A2372" s="3" t="s">
        <v>3894</v>
      </c>
      <c r="B2372" s="4" t="s">
        <v>2809</v>
      </c>
      <c r="C2372" s="5">
        <v>1912.0</v>
      </c>
      <c r="D2372" s="8" t="str">
        <f>+44.044306°</f>
        <v>#ERROR!</v>
      </c>
      <c r="E2372" s="7" t="s">
        <v>3908</v>
      </c>
    </row>
    <row r="2373">
      <c r="A2373" s="3" t="s">
        <v>3894</v>
      </c>
      <c r="B2373" s="4" t="s">
        <v>413</v>
      </c>
      <c r="C2373" s="5">
        <v>10110.0</v>
      </c>
      <c r="D2373" s="8" t="str">
        <f>+44.896435°</f>
        <v>#ERROR!</v>
      </c>
      <c r="E2373" s="7" t="s">
        <v>3909</v>
      </c>
    </row>
    <row r="2374">
      <c r="A2374" s="3" t="s">
        <v>3894</v>
      </c>
      <c r="B2374" s="4" t="s">
        <v>1783</v>
      </c>
      <c r="C2374" s="5">
        <v>1466.0</v>
      </c>
      <c r="D2374" s="8" t="str">
        <f>+45.782241°</f>
        <v>#ERROR!</v>
      </c>
      <c r="E2374" s="7" t="s">
        <v>3910</v>
      </c>
    </row>
    <row r="2375">
      <c r="A2375" s="3" t="s">
        <v>3894</v>
      </c>
      <c r="B2375" s="4" t="s">
        <v>3911</v>
      </c>
      <c r="C2375" s="5">
        <v>9129.0</v>
      </c>
      <c r="D2375" s="8" t="str">
        <f>+43.206185°</f>
        <v>#ERROR!</v>
      </c>
      <c r="E2375" s="7" t="s">
        <v>3912</v>
      </c>
    </row>
    <row r="2376">
      <c r="A2376" s="3" t="s">
        <v>3894</v>
      </c>
      <c r="B2376" s="4" t="s">
        <v>291</v>
      </c>
      <c r="C2376" s="5">
        <v>3691.0</v>
      </c>
      <c r="D2376" s="8" t="str">
        <f>+44.855211°</f>
        <v>#ERROR!</v>
      </c>
      <c r="E2376" s="7" t="s">
        <v>3913</v>
      </c>
    </row>
    <row r="2377">
      <c r="A2377" s="3" t="s">
        <v>3894</v>
      </c>
      <c r="B2377" s="4" t="s">
        <v>42</v>
      </c>
      <c r="C2377" s="5">
        <v>13864.0</v>
      </c>
      <c r="D2377" s="8" t="str">
        <f>+42.912997°</f>
        <v>#ERROR!</v>
      </c>
      <c r="E2377" s="7" t="s">
        <v>3914</v>
      </c>
    </row>
    <row r="2378">
      <c r="A2378" s="3" t="s">
        <v>3894</v>
      </c>
      <c r="B2378" s="4" t="s">
        <v>3915</v>
      </c>
      <c r="C2378" s="5">
        <v>27227.0</v>
      </c>
      <c r="D2378" s="8" t="str">
        <f>+44.966324°</f>
        <v>#ERROR!</v>
      </c>
      <c r="E2378" s="7" t="s">
        <v>3916</v>
      </c>
    </row>
    <row r="2379">
      <c r="A2379" s="3" t="s">
        <v>3894</v>
      </c>
      <c r="B2379" s="4" t="s">
        <v>3917</v>
      </c>
      <c r="C2379" s="5">
        <v>4050.0</v>
      </c>
      <c r="D2379" s="8" t="str">
        <f>+45.698340°</f>
        <v>#ERROR!</v>
      </c>
      <c r="E2379" s="7" t="s">
        <v>3918</v>
      </c>
    </row>
    <row r="2380">
      <c r="A2380" s="3" t="s">
        <v>3894</v>
      </c>
      <c r="B2380" s="4" t="s">
        <v>550</v>
      </c>
      <c r="C2380" s="5">
        <v>8216.0</v>
      </c>
      <c r="D2380" s="8" t="str">
        <f>+43.684943°</f>
        <v>#ERROR!</v>
      </c>
      <c r="E2380" s="7" t="s">
        <v>3919</v>
      </c>
    </row>
    <row r="2381">
      <c r="A2381" s="3" t="s">
        <v>3894</v>
      </c>
      <c r="B2381" s="4" t="s">
        <v>3920</v>
      </c>
      <c r="C2381" s="5">
        <v>19504.0</v>
      </c>
      <c r="D2381" s="8" t="str">
        <f>+43.680439°</f>
        <v>#ERROR!</v>
      </c>
      <c r="E2381" s="7" t="s">
        <v>3921</v>
      </c>
    </row>
    <row r="2382">
      <c r="A2382" s="3" t="s">
        <v>3894</v>
      </c>
      <c r="B2382" s="4" t="s">
        <v>3922</v>
      </c>
      <c r="C2382" s="5">
        <v>5710.0</v>
      </c>
      <c r="D2382" s="8" t="str">
        <f>+45.362283°</f>
        <v>#ERROR!</v>
      </c>
      <c r="E2382" s="7" t="s">
        <v>3923</v>
      </c>
    </row>
    <row r="2383">
      <c r="A2383" s="3" t="s">
        <v>3894</v>
      </c>
      <c r="B2383" s="4" t="s">
        <v>2830</v>
      </c>
      <c r="C2383" s="5">
        <v>4364.0</v>
      </c>
      <c r="D2383" s="8" t="str">
        <f>+44.756290°</f>
        <v>#ERROR!</v>
      </c>
      <c r="E2383" s="7" t="s">
        <v>3924</v>
      </c>
    </row>
    <row r="2384">
      <c r="A2384" s="3" t="s">
        <v>3894</v>
      </c>
      <c r="B2384" s="4" t="s">
        <v>3569</v>
      </c>
      <c r="C2384" s="5">
        <v>5301.0</v>
      </c>
      <c r="D2384" s="8" t="str">
        <f>+45.150005°</f>
        <v>#ERROR!</v>
      </c>
      <c r="E2384" s="7" t="s">
        <v>3925</v>
      </c>
    </row>
    <row r="2385">
      <c r="A2385" s="3" t="s">
        <v>3894</v>
      </c>
      <c r="B2385" s="4" t="s">
        <v>558</v>
      </c>
      <c r="C2385" s="5">
        <v>3002.0</v>
      </c>
      <c r="D2385" s="8" t="str">
        <f>+43.391506°</f>
        <v>#ERROR!</v>
      </c>
      <c r="E2385" s="7" t="s">
        <v>3926</v>
      </c>
    </row>
    <row r="2386">
      <c r="A2386" s="3" t="s">
        <v>3894</v>
      </c>
      <c r="B2386" s="4" t="s">
        <v>3927</v>
      </c>
      <c r="C2386" s="5">
        <v>4071.0</v>
      </c>
      <c r="D2386" s="8" t="str">
        <f>+45.411680°</f>
        <v>#ERROR!</v>
      </c>
      <c r="E2386" s="7" t="s">
        <v>3928</v>
      </c>
    </row>
    <row r="2387">
      <c r="A2387" s="3" t="s">
        <v>3894</v>
      </c>
      <c r="B2387" s="4" t="s">
        <v>3929</v>
      </c>
      <c r="C2387" s="5">
        <v>7094.0</v>
      </c>
      <c r="D2387" s="8" t="str">
        <f>+43.221504°</f>
        <v>#ERROR!</v>
      </c>
      <c r="E2387" s="7" t="s">
        <v>3930</v>
      </c>
    </row>
    <row r="2388">
      <c r="A2388" s="3" t="s">
        <v>3894</v>
      </c>
      <c r="B2388" s="4" t="s">
        <v>3931</v>
      </c>
      <c r="C2388" s="5">
        <v>2364.0</v>
      </c>
      <c r="D2388" s="8" t="str">
        <f>+45.065476°</f>
        <v>#ERROR!</v>
      </c>
      <c r="E2388" s="7" t="s">
        <v>3932</v>
      </c>
    </row>
    <row r="2389">
      <c r="A2389" s="3" t="s">
        <v>3894</v>
      </c>
      <c r="B2389" s="4" t="s">
        <v>321</v>
      </c>
      <c r="C2389" s="5">
        <v>7356.0</v>
      </c>
      <c r="D2389" s="8" t="str">
        <f>+45.172637°</f>
        <v>#ERROR!</v>
      </c>
      <c r="E2389" s="7" t="s">
        <v>3933</v>
      </c>
    </row>
    <row r="2390">
      <c r="A2390" s="3" t="s">
        <v>3894</v>
      </c>
      <c r="B2390" s="4" t="s">
        <v>3934</v>
      </c>
      <c r="C2390" s="5">
        <v>4271.0</v>
      </c>
      <c r="D2390" s="8" t="str">
        <f>+43.179094°</f>
        <v>#ERROR!</v>
      </c>
      <c r="E2390" s="7" t="s">
        <v>3935</v>
      </c>
    </row>
    <row r="2391">
      <c r="A2391" s="3" t="s">
        <v>3894</v>
      </c>
      <c r="B2391" s="4" t="s">
        <v>3936</v>
      </c>
      <c r="C2391" s="5">
        <v>1937.0</v>
      </c>
      <c r="D2391" s="8" t="str">
        <f>+44.284312°</f>
        <v>#ERROR!</v>
      </c>
      <c r="E2391" s="7" t="s">
        <v>3937</v>
      </c>
    </row>
    <row r="2392">
      <c r="A2392" s="3" t="s">
        <v>3894</v>
      </c>
      <c r="B2392" s="4" t="s">
        <v>3938</v>
      </c>
      <c r="C2392" s="5">
        <v>5903.0</v>
      </c>
      <c r="D2392" s="8" t="str">
        <f>+44.680619°</f>
        <v>#ERROR!</v>
      </c>
      <c r="E2392" s="7" t="s">
        <v>3939</v>
      </c>
    </row>
    <row r="2393">
      <c r="A2393" s="3" t="s">
        <v>3894</v>
      </c>
      <c r="B2393" s="4" t="s">
        <v>3940</v>
      </c>
      <c r="C2393" s="5">
        <v>3431.0</v>
      </c>
      <c r="D2393" s="8" t="str">
        <f>+44.546713°</f>
        <v>#ERROR!</v>
      </c>
      <c r="E2393" s="7" t="s">
        <v>3941</v>
      </c>
    </row>
    <row r="2394">
      <c r="A2394" s="3" t="s">
        <v>3894</v>
      </c>
      <c r="B2394" s="4" t="s">
        <v>3942</v>
      </c>
      <c r="C2394" s="5">
        <v>3331.0</v>
      </c>
      <c r="D2394" s="8" t="str">
        <f>+43.680612°</f>
        <v>#ERROR!</v>
      </c>
      <c r="E2394" s="7" t="s">
        <v>3943</v>
      </c>
    </row>
    <row r="2395">
      <c r="A2395" s="3" t="s">
        <v>3894</v>
      </c>
      <c r="B2395" s="4" t="s">
        <v>3030</v>
      </c>
      <c r="C2395" s="5">
        <v>1255.0</v>
      </c>
      <c r="D2395" s="8" t="str">
        <f>+45.596612°</f>
        <v>#ERROR!</v>
      </c>
      <c r="E2395" s="7" t="s">
        <v>3944</v>
      </c>
    </row>
    <row r="2396">
      <c r="A2396" s="3" t="s">
        <v>3894</v>
      </c>
      <c r="B2396" s="4" t="s">
        <v>3583</v>
      </c>
      <c r="C2396" s="5">
        <v>17022.0</v>
      </c>
      <c r="D2396" s="8" t="str">
        <f>+44.392258°</f>
        <v>#ERROR!</v>
      </c>
      <c r="E2396" s="7" t="s">
        <v>3945</v>
      </c>
    </row>
    <row r="2397">
      <c r="A2397" s="3" t="s">
        <v>3894</v>
      </c>
      <c r="B2397" s="4" t="s">
        <v>3946</v>
      </c>
      <c r="C2397" s="5">
        <v>7343.0</v>
      </c>
      <c r="D2397" s="8" t="str">
        <f>+43.336710°</f>
        <v>#ERROR!</v>
      </c>
      <c r="E2397" s="7" t="s">
        <v>3947</v>
      </c>
    </row>
    <row r="2398">
      <c r="A2398" s="3" t="s">
        <v>3894</v>
      </c>
      <c r="B2398" s="4" t="s">
        <v>3243</v>
      </c>
      <c r="C2398" s="5">
        <v>1420.0</v>
      </c>
      <c r="D2398" s="8" t="str">
        <f>+44.537301°</f>
        <v>#ERROR!</v>
      </c>
      <c r="E2398" s="7" t="s">
        <v>3948</v>
      </c>
    </row>
    <row r="2399">
      <c r="A2399" s="3" t="s">
        <v>3894</v>
      </c>
      <c r="B2399" s="4" t="s">
        <v>108</v>
      </c>
      <c r="C2399" s="5">
        <v>3031.0</v>
      </c>
      <c r="D2399" s="8" t="str">
        <f>+43.677294°</f>
        <v>#ERROR!</v>
      </c>
      <c r="E2399" s="7" t="s">
        <v>3949</v>
      </c>
    </row>
    <row r="2400">
      <c r="A2400" s="3" t="s">
        <v>3894</v>
      </c>
      <c r="B2400" s="4" t="s">
        <v>3950</v>
      </c>
      <c r="C2400" s="5">
        <v>2071.0</v>
      </c>
      <c r="D2400" s="8" t="str">
        <f>+44.063416°</f>
        <v>#ERROR!</v>
      </c>
      <c r="E2400" s="7" t="s">
        <v>3951</v>
      </c>
    </row>
    <row r="2401">
      <c r="A2401" s="3" t="s">
        <v>3894</v>
      </c>
      <c r="B2401" s="4" t="s">
        <v>930</v>
      </c>
      <c r="C2401" s="5">
        <v>1006.0</v>
      </c>
      <c r="D2401" s="8" t="str">
        <f>+43.951990°</f>
        <v>#ERROR!</v>
      </c>
      <c r="E2401" s="7" t="s">
        <v>3952</v>
      </c>
    </row>
    <row r="2402">
      <c r="A2402" s="3" t="s">
        <v>3894</v>
      </c>
      <c r="B2402" s="4" t="s">
        <v>3953</v>
      </c>
      <c r="C2402" s="5">
        <v>5148.0</v>
      </c>
      <c r="D2402" s="8" t="str">
        <f>+44.362969°</f>
        <v>#ERROR!</v>
      </c>
      <c r="E2402" s="7" t="s">
        <v>3954</v>
      </c>
    </row>
    <row r="2403">
      <c r="A2403" s="3" t="s">
        <v>3894</v>
      </c>
      <c r="B2403" s="4" t="s">
        <v>439</v>
      </c>
      <c r="C2403" s="5">
        <v>11200.0</v>
      </c>
      <c r="D2403" s="8" t="str">
        <f>+44.028450°</f>
        <v>#ERROR!</v>
      </c>
      <c r="E2403" s="7" t="s">
        <v>3955</v>
      </c>
    </row>
    <row r="2404">
      <c r="A2404" s="3" t="s">
        <v>3894</v>
      </c>
      <c r="B2404" s="4" t="s">
        <v>120</v>
      </c>
      <c r="C2404" s="5">
        <v>24097.0</v>
      </c>
      <c r="D2404" s="8" t="str">
        <f>+44.353669°</f>
        <v>#ERROR!</v>
      </c>
      <c r="E2404" s="7" t="s">
        <v>3956</v>
      </c>
    </row>
    <row r="2405">
      <c r="A2405" s="3" t="s">
        <v>3894</v>
      </c>
      <c r="B2405" s="4" t="s">
        <v>342</v>
      </c>
      <c r="C2405" s="5">
        <v>44828.0</v>
      </c>
      <c r="D2405" s="8" t="str">
        <f>+43.279420°</f>
        <v>#ERROR!</v>
      </c>
      <c r="E2405" s="7" t="s">
        <v>3957</v>
      </c>
    </row>
    <row r="2406">
      <c r="A2406" s="3" t="s">
        <v>3894</v>
      </c>
      <c r="B2406" s="4" t="s">
        <v>3958</v>
      </c>
      <c r="C2406" s="5">
        <v>3755.0</v>
      </c>
      <c r="D2406" s="8" t="str">
        <f>+43.894812°</f>
        <v>#ERROR!</v>
      </c>
      <c r="E2406" s="7" t="s">
        <v>3959</v>
      </c>
    </row>
    <row r="2407">
      <c r="A2407" s="3" t="s">
        <v>3894</v>
      </c>
      <c r="B2407" s="4" t="s">
        <v>3960</v>
      </c>
      <c r="C2407" s="5">
        <v>5618.0</v>
      </c>
      <c r="D2407" s="8" t="str">
        <f>+43.678924°</f>
        <v>#ERROR!</v>
      </c>
      <c r="E2407" s="7" t="s">
        <v>3961</v>
      </c>
    </row>
    <row r="2408">
      <c r="A2408" s="3" t="s">
        <v>3894</v>
      </c>
      <c r="B2408" s="4" t="s">
        <v>1667</v>
      </c>
      <c r="C2408" s="5">
        <v>2459.0</v>
      </c>
      <c r="D2408" s="8" t="str">
        <f>+45.784249°</f>
        <v>#ERROR!</v>
      </c>
      <c r="E2408" s="7" t="s">
        <v>3962</v>
      </c>
    </row>
    <row r="2409">
      <c r="A2409" s="3" t="s">
        <v>3894</v>
      </c>
      <c r="B2409" s="4" t="s">
        <v>143</v>
      </c>
      <c r="C2409" s="5">
        <v>4656.0</v>
      </c>
      <c r="D2409" s="8" t="str">
        <f>+45.737054°</f>
        <v>#ERROR!</v>
      </c>
      <c r="E2409" s="7" t="s">
        <v>3963</v>
      </c>
    </row>
    <row r="2410">
      <c r="A2410" s="3" t="s">
        <v>3894</v>
      </c>
      <c r="B2410" s="4" t="s">
        <v>1671</v>
      </c>
      <c r="C2410" s="5">
        <v>25434.0</v>
      </c>
      <c r="D2410" s="8" t="str">
        <f>+44.606792°</f>
        <v>#ERROR!</v>
      </c>
      <c r="E2410" s="7" t="s">
        <v>3964</v>
      </c>
    </row>
    <row r="2411">
      <c r="A2411" s="3" t="s">
        <v>3894</v>
      </c>
      <c r="B2411" s="4" t="s">
        <v>3965</v>
      </c>
      <c r="C2411" s="5">
        <v>2048.0</v>
      </c>
      <c r="D2411" s="8" t="str">
        <f>+43.584930°</f>
        <v>#ERROR!</v>
      </c>
      <c r="E2411" s="7" t="s">
        <v>3966</v>
      </c>
    </row>
    <row r="2412">
      <c r="A2412" s="3" t="s">
        <v>3894</v>
      </c>
      <c r="B2412" s="4" t="s">
        <v>3967</v>
      </c>
      <c r="C2412" s="5">
        <v>2389.0</v>
      </c>
      <c r="D2412" s="8" t="str">
        <f>+44.017327°</f>
        <v>#ERROR!</v>
      </c>
      <c r="E2412" s="7" t="s">
        <v>3968</v>
      </c>
    </row>
    <row r="2413">
      <c r="A2413" s="3" t="s">
        <v>3894</v>
      </c>
      <c r="B2413" s="4" t="s">
        <v>3969</v>
      </c>
      <c r="C2413" s="5">
        <v>169468.0</v>
      </c>
      <c r="D2413" s="8" t="str">
        <f>+43.667472°</f>
        <v>#ERROR!</v>
      </c>
      <c r="E2413" s="7" t="s">
        <v>3970</v>
      </c>
    </row>
    <row r="2414">
      <c r="A2414" s="3" t="s">
        <v>3894</v>
      </c>
      <c r="B2414" s="4" t="s">
        <v>3971</v>
      </c>
      <c r="C2414" s="5">
        <v>6486.0</v>
      </c>
      <c r="D2414" s="8" t="str">
        <f>+44.012429°</f>
        <v>#ERROR!</v>
      </c>
      <c r="E2414" s="7" t="s">
        <v>3972</v>
      </c>
    </row>
    <row r="2415">
      <c r="A2415" s="3" t="s">
        <v>3894</v>
      </c>
      <c r="B2415" s="4" t="s">
        <v>2376</v>
      </c>
      <c r="C2415" s="5">
        <v>100948.0</v>
      </c>
      <c r="D2415" s="8" t="str">
        <f>+44.002349°</f>
        <v>#ERROR!</v>
      </c>
      <c r="E2415" s="7" t="s">
        <v>3973</v>
      </c>
    </row>
    <row r="2416">
      <c r="A2416" s="3" t="s">
        <v>3894</v>
      </c>
      <c r="B2416" s="4" t="s">
        <v>2895</v>
      </c>
      <c r="C2416" s="5">
        <v>2982.0</v>
      </c>
      <c r="D2416" s="8" t="str">
        <f>+45.483387°</f>
        <v>#ERROR!</v>
      </c>
      <c r="E2416" s="7" t="s">
        <v>3974</v>
      </c>
    </row>
    <row r="2417">
      <c r="A2417" s="3" t="s">
        <v>3894</v>
      </c>
      <c r="B2417" s="4" t="s">
        <v>3788</v>
      </c>
      <c r="C2417" s="5">
        <v>2329.0</v>
      </c>
      <c r="D2417" s="8" t="str">
        <f>+45.064276°</f>
        <v>#ERROR!</v>
      </c>
      <c r="E2417" s="7" t="s">
        <v>3975</v>
      </c>
    </row>
    <row r="2418">
      <c r="A2418" s="3" t="s">
        <v>3894</v>
      </c>
      <c r="B2418" s="4" t="s">
        <v>3976</v>
      </c>
      <c r="C2418" s="5">
        <v>10149.0</v>
      </c>
      <c r="D2418" s="8" t="str">
        <f>+45.623397°</f>
        <v>#ERROR!</v>
      </c>
      <c r="E2418" s="7" t="s">
        <v>3977</v>
      </c>
    </row>
    <row r="2419">
      <c r="A2419" s="3" t="s">
        <v>3894</v>
      </c>
      <c r="B2419" s="4" t="s">
        <v>3978</v>
      </c>
      <c r="C2419" s="5">
        <v>2355.0</v>
      </c>
      <c r="D2419" s="8" t="str">
        <f>+44.021032°</f>
        <v>#ERROR!</v>
      </c>
      <c r="E2419" s="7" t="s">
        <v>3979</v>
      </c>
    </row>
    <row r="2420">
      <c r="A2420" s="3" t="s">
        <v>3894</v>
      </c>
      <c r="B2420" s="4" t="s">
        <v>3980</v>
      </c>
      <c r="C2420" s="5">
        <v>13586.0</v>
      </c>
      <c r="D2420" s="8" t="str">
        <f>+43.341937°</f>
        <v>#ERROR!</v>
      </c>
      <c r="E2420" s="7" t="s">
        <v>3981</v>
      </c>
    </row>
    <row r="2421">
      <c r="A2421" s="3" t="s">
        <v>3894</v>
      </c>
      <c r="B2421" s="4" t="s">
        <v>3982</v>
      </c>
      <c r="C2421" s="5">
        <v>6415.0</v>
      </c>
      <c r="D2421" s="8" t="str">
        <f>+44.931034°</f>
        <v>#ERROR!</v>
      </c>
      <c r="E2421" s="7" t="s">
        <v>3983</v>
      </c>
    </row>
    <row r="2422">
      <c r="A2422" s="3" t="s">
        <v>3894</v>
      </c>
      <c r="B2422" s="4" t="s">
        <v>3984</v>
      </c>
      <c r="C2422" s="5">
        <v>2966.0</v>
      </c>
      <c r="D2422" s="8" t="str">
        <f>+44.415547°</f>
        <v>#ERROR!</v>
      </c>
      <c r="E2422" s="7" t="s">
        <v>3985</v>
      </c>
    </row>
    <row r="2423">
      <c r="A2423" s="3" t="s">
        <v>3894</v>
      </c>
      <c r="B2423" s="4" t="s">
        <v>3986</v>
      </c>
      <c r="C2423" s="5">
        <v>1373.0</v>
      </c>
      <c r="D2423" s="8" t="str">
        <f>+44.722325°</f>
        <v>#ERROR!</v>
      </c>
      <c r="E2423" s="7" t="s">
        <v>3987</v>
      </c>
    </row>
    <row r="2424">
      <c r="A2424" s="3" t="s">
        <v>3894</v>
      </c>
      <c r="B2424" s="4" t="s">
        <v>3988</v>
      </c>
      <c r="C2424" s="5">
        <v>9612.0</v>
      </c>
      <c r="D2424" s="8" t="str">
        <f>+43.208172°</f>
        <v>#ERROR!</v>
      </c>
      <c r="E2424" s="7" t="s">
        <v>3989</v>
      </c>
    </row>
    <row r="2425">
      <c r="A2425" s="3" t="s">
        <v>3894</v>
      </c>
      <c r="B2425" s="4" t="s">
        <v>3990</v>
      </c>
      <c r="C2425" s="5">
        <v>5644.0</v>
      </c>
      <c r="D2425" s="8" t="str">
        <f>+43.349729°</f>
        <v>#ERROR!</v>
      </c>
      <c r="E2425" s="7" t="s">
        <v>3991</v>
      </c>
    </row>
    <row r="2426">
      <c r="A2426" s="3" t="s">
        <v>3894</v>
      </c>
      <c r="B2426" s="4" t="s">
        <v>1024</v>
      </c>
      <c r="C2426" s="5">
        <v>8347.0</v>
      </c>
      <c r="D2426" s="8" t="str">
        <f>+43.308670°</f>
        <v>#ERROR!</v>
      </c>
      <c r="E2426" s="7" t="s">
        <v>3992</v>
      </c>
    </row>
    <row r="2427">
      <c r="A2427" s="3" t="s">
        <v>3894</v>
      </c>
      <c r="B2427" s="4" t="s">
        <v>395</v>
      </c>
      <c r="C2427" s="5">
        <v>14399.0</v>
      </c>
      <c r="D2427" s="8" t="str">
        <f>+42.831106°</f>
        <v>#ERROR!</v>
      </c>
      <c r="E2427" s="7" t="s">
        <v>3993</v>
      </c>
    </row>
    <row r="2428">
      <c r="A2428" s="3" t="s">
        <v>3894</v>
      </c>
      <c r="B2428" s="4" t="s">
        <v>3994</v>
      </c>
      <c r="C2428" s="5">
        <v>5438.0</v>
      </c>
      <c r="D2428" s="8" t="str">
        <f>+45.427605°</f>
        <v>#ERROR!</v>
      </c>
      <c r="E2428" s="7" t="s">
        <v>3995</v>
      </c>
    </row>
    <row r="2429">
      <c r="A2429" s="3" t="s">
        <v>3894</v>
      </c>
      <c r="B2429" s="4" t="s">
        <v>3996</v>
      </c>
      <c r="C2429" s="5">
        <v>22438.0</v>
      </c>
      <c r="D2429" s="8" t="str">
        <f>+43.006607°</f>
        <v>#ERROR!</v>
      </c>
      <c r="E2429" s="7" t="s">
        <v>3997</v>
      </c>
    </row>
    <row r="2430">
      <c r="A2430" s="3" t="s">
        <v>3894</v>
      </c>
      <c r="B2430" s="4" t="s">
        <v>3998</v>
      </c>
      <c r="C2430" s="5">
        <v>2801.0</v>
      </c>
      <c r="D2430" s="8" t="str">
        <f>+44.981666°</f>
        <v>#ERROR!</v>
      </c>
      <c r="E2430" s="7" t="s">
        <v>3999</v>
      </c>
    </row>
    <row r="2431">
      <c r="A2431" s="3" t="s">
        <v>4000</v>
      </c>
      <c r="B2431" s="4" t="s">
        <v>1581</v>
      </c>
      <c r="C2431" s="5">
        <v>75129.0</v>
      </c>
      <c r="D2431" s="8" t="str">
        <f>+36.116731°</f>
        <v>#ERROR!</v>
      </c>
      <c r="E2431" s="7" t="s">
        <v>4001</v>
      </c>
    </row>
    <row r="2432">
      <c r="A2432" s="3" t="s">
        <v>4000</v>
      </c>
      <c r="B2432" s="4" t="s">
        <v>3716</v>
      </c>
      <c r="C2432" s="5">
        <v>45058.0</v>
      </c>
      <c r="D2432" s="8" t="str">
        <f>+35.513660°</f>
        <v>#ERROR!</v>
      </c>
      <c r="E2432" s="7" t="s">
        <v>4002</v>
      </c>
    </row>
    <row r="2433">
      <c r="A2433" s="3" t="s">
        <v>4000</v>
      </c>
      <c r="B2433" s="4" t="s">
        <v>280</v>
      </c>
      <c r="C2433" s="5">
        <v>16489.0</v>
      </c>
      <c r="D2433" s="8" t="str">
        <f>+36.069253°</f>
        <v>#ERROR!</v>
      </c>
      <c r="E2433" s="7" t="s">
        <v>4003</v>
      </c>
    </row>
    <row r="2434">
      <c r="A2434" s="3" t="s">
        <v>4000</v>
      </c>
      <c r="B2434" s="4" t="s">
        <v>4004</v>
      </c>
      <c r="C2434" s="5">
        <v>12876.0</v>
      </c>
      <c r="D2434" s="8" t="str">
        <f>+35.593668°</f>
        <v>#ERROR!</v>
      </c>
      <c r="E2434" s="7" t="s">
        <v>4005</v>
      </c>
    </row>
    <row r="2435">
      <c r="A2435" s="3" t="s">
        <v>4000</v>
      </c>
      <c r="B2435" s="4" t="s">
        <v>18</v>
      </c>
      <c r="C2435" s="5">
        <v>123010.0</v>
      </c>
      <c r="D2435" s="8" t="str">
        <f>+35.688185°</f>
        <v>#ERROR!</v>
      </c>
      <c r="E2435" s="7" t="s">
        <v>4006</v>
      </c>
    </row>
    <row r="2436">
      <c r="A2436" s="3" t="s">
        <v>4000</v>
      </c>
      <c r="B2436" s="4" t="s">
        <v>284</v>
      </c>
      <c r="C2436" s="5">
        <v>98963.0</v>
      </c>
      <c r="D2436" s="8" t="str">
        <f>+35.153914°</f>
        <v>#ERROR!</v>
      </c>
      <c r="E2436" s="7" t="s">
        <v>4007</v>
      </c>
    </row>
    <row r="2437">
      <c r="A2437" s="3" t="s">
        <v>4000</v>
      </c>
      <c r="B2437" s="4" t="s">
        <v>1783</v>
      </c>
      <c r="C2437" s="5">
        <v>40716.0</v>
      </c>
      <c r="D2437" s="8" t="str">
        <f>+36.401592°</f>
        <v>#ERROR!</v>
      </c>
      <c r="E2437" s="7" t="s">
        <v>4008</v>
      </c>
    </row>
    <row r="2438">
      <c r="A2438" s="3" t="s">
        <v>4000</v>
      </c>
      <c r="B2438" s="4" t="s">
        <v>4009</v>
      </c>
      <c r="C2438" s="5">
        <v>13801.0</v>
      </c>
      <c r="D2438" s="8" t="str">
        <f>+35.808394°</f>
        <v>#ERROR!</v>
      </c>
      <c r="E2438" s="7" t="s">
        <v>4010</v>
      </c>
    </row>
    <row r="2439">
      <c r="A2439" s="3" t="s">
        <v>4000</v>
      </c>
      <c r="B2439" s="4" t="s">
        <v>287</v>
      </c>
      <c r="C2439" s="5">
        <v>28522.0</v>
      </c>
      <c r="D2439" s="8" t="str">
        <f>+35.967896°</f>
        <v>#ERROR!</v>
      </c>
      <c r="E2439" s="7" t="s">
        <v>4011</v>
      </c>
    </row>
    <row r="2440">
      <c r="A2440" s="3" t="s">
        <v>4000</v>
      </c>
      <c r="B2440" s="4" t="s">
        <v>1788</v>
      </c>
      <c r="C2440" s="5">
        <v>57424.0</v>
      </c>
      <c r="D2440" s="8" t="str">
        <f>+36.284744°</f>
        <v>#ERROR!</v>
      </c>
      <c r="E2440" s="7" t="s">
        <v>4012</v>
      </c>
    </row>
    <row r="2441">
      <c r="A2441" s="3" t="s">
        <v>4000</v>
      </c>
      <c r="B2441" s="4" t="s">
        <v>4013</v>
      </c>
      <c r="C2441" s="5">
        <v>39105.0</v>
      </c>
      <c r="D2441" s="8" t="str">
        <f>+36.255180°</f>
        <v>#ERROR!</v>
      </c>
      <c r="E2441" s="7" t="s">
        <v>4014</v>
      </c>
    </row>
    <row r="2442">
      <c r="A2442" s="3" t="s">
        <v>4000</v>
      </c>
      <c r="B2442" s="4" t="s">
        <v>3732</v>
      </c>
      <c r="C2442" s="5">
        <v>17131.0</v>
      </c>
      <c r="D2442" s="8" t="str">
        <f>+35.416639°</f>
        <v>#ERROR!</v>
      </c>
      <c r="E2442" s="7" t="s">
        <v>4015</v>
      </c>
    </row>
    <row r="2443">
      <c r="A2443" s="3" t="s">
        <v>4000</v>
      </c>
      <c r="B2443" s="4" t="s">
        <v>1953</v>
      </c>
      <c r="C2443" s="5">
        <v>32213.0</v>
      </c>
      <c r="D2443" s="8" t="str">
        <f>+36.501557°</f>
        <v>#ERROR!</v>
      </c>
      <c r="E2443" s="7" t="s">
        <v>4016</v>
      </c>
    </row>
    <row r="2444">
      <c r="A2444" s="3" t="s">
        <v>4000</v>
      </c>
      <c r="B2444" s="4" t="s">
        <v>42</v>
      </c>
      <c r="C2444" s="5">
        <v>7861.0</v>
      </c>
      <c r="D2444" s="8" t="str">
        <f>+36.545765°</f>
        <v>#ERROR!</v>
      </c>
      <c r="E2444" s="7" t="s">
        <v>4017</v>
      </c>
    </row>
    <row r="2445">
      <c r="A2445" s="3" t="s">
        <v>4000</v>
      </c>
      <c r="B2445" s="4" t="s">
        <v>4018</v>
      </c>
      <c r="C2445" s="5">
        <v>35662.0</v>
      </c>
      <c r="D2445" s="8" t="str">
        <f>+35.916198°</f>
        <v>#ERROR!</v>
      </c>
      <c r="E2445" s="7" t="s">
        <v>4019</v>
      </c>
    </row>
    <row r="2446">
      <c r="A2446" s="3" t="s">
        <v>4000</v>
      </c>
      <c r="B2446" s="4" t="s">
        <v>48</v>
      </c>
      <c r="C2446" s="5">
        <v>52796.0</v>
      </c>
      <c r="D2446" s="8" t="str">
        <f>+35.488759°</f>
        <v>#ERROR!</v>
      </c>
      <c r="E2446" s="7" t="s">
        <v>4020</v>
      </c>
    </row>
    <row r="2447">
      <c r="A2447" s="3" t="s">
        <v>4000</v>
      </c>
      <c r="B2447" s="4" t="s">
        <v>4021</v>
      </c>
      <c r="C2447" s="5">
        <v>14586.0</v>
      </c>
      <c r="D2447" s="8" t="str">
        <f>+35.811312°</f>
        <v>#ERROR!</v>
      </c>
      <c r="E2447" s="7" t="s">
        <v>4022</v>
      </c>
    </row>
    <row r="2448">
      <c r="A2448" s="3" t="s">
        <v>4000</v>
      </c>
      <c r="B2448" s="4" t="s">
        <v>1170</v>
      </c>
      <c r="C2448" s="5">
        <v>56053.0</v>
      </c>
      <c r="D2448" s="8" t="str">
        <f>+35.952398°</f>
        <v>#ERROR!</v>
      </c>
      <c r="E2448" s="7" t="s">
        <v>4023</v>
      </c>
    </row>
    <row r="2449">
      <c r="A2449" s="3" t="s">
        <v>4000</v>
      </c>
      <c r="B2449" s="4" t="s">
        <v>3210</v>
      </c>
      <c r="C2449" s="5">
        <v>626681.0</v>
      </c>
      <c r="D2449" s="8" t="str">
        <f>+36.169129°</f>
        <v>#ERROR!</v>
      </c>
      <c r="E2449" s="7" t="s">
        <v>4024</v>
      </c>
    </row>
    <row r="2450">
      <c r="A2450" s="3" t="s">
        <v>4000</v>
      </c>
      <c r="B2450" s="4" t="s">
        <v>860</v>
      </c>
      <c r="C2450" s="5">
        <v>11757.0</v>
      </c>
      <c r="D2450" s="8" t="str">
        <f>+35.603422°</f>
        <v>#ERROR!</v>
      </c>
      <c r="E2450" s="7" t="s">
        <v>4025</v>
      </c>
    </row>
    <row r="2451">
      <c r="A2451" s="3" t="s">
        <v>4000</v>
      </c>
      <c r="B2451" s="4" t="s">
        <v>75</v>
      </c>
      <c r="C2451" s="5">
        <v>18723.0</v>
      </c>
      <c r="D2451" s="8" t="str">
        <f>+35.982220°</f>
        <v>#ERROR!</v>
      </c>
      <c r="E2451" s="7" t="s">
        <v>4026</v>
      </c>
    </row>
    <row r="2452">
      <c r="A2452" s="3" t="s">
        <v>4000</v>
      </c>
      <c r="B2452" s="4" t="s">
        <v>4027</v>
      </c>
      <c r="C2452" s="5">
        <v>49666.0</v>
      </c>
      <c r="D2452" s="8" t="str">
        <f>+36.145533°</f>
        <v>#ERROR!</v>
      </c>
      <c r="E2452" s="7" t="s">
        <v>4028</v>
      </c>
    </row>
    <row r="2453">
      <c r="A2453" s="3" t="s">
        <v>4000</v>
      </c>
      <c r="B2453" s="4" t="s">
        <v>4029</v>
      </c>
      <c r="C2453" s="5">
        <v>38335.0</v>
      </c>
      <c r="D2453" s="8" t="str">
        <f>+36.054196°</f>
        <v>#ERROR!</v>
      </c>
      <c r="E2453" s="7" t="s">
        <v>4030</v>
      </c>
    </row>
    <row r="2454">
      <c r="A2454" s="3" t="s">
        <v>4000</v>
      </c>
      <c r="B2454" s="4" t="s">
        <v>87</v>
      </c>
      <c r="C2454" s="5">
        <v>38413.0</v>
      </c>
      <c r="D2454" s="8" t="str">
        <f>+35.196993°</f>
        <v>#ERROR!</v>
      </c>
      <c r="E2454" s="7" t="s">
        <v>4031</v>
      </c>
    </row>
    <row r="2455">
      <c r="A2455" s="3" t="s">
        <v>4000</v>
      </c>
      <c r="B2455" s="4" t="s">
        <v>4032</v>
      </c>
      <c r="C2455" s="5">
        <v>17959.0</v>
      </c>
      <c r="D2455" s="8" t="str">
        <f>+36.376079°</f>
        <v>#ERROR!</v>
      </c>
      <c r="E2455" s="7" t="s">
        <v>4033</v>
      </c>
    </row>
    <row r="2456">
      <c r="A2456" s="3" t="s">
        <v>4000</v>
      </c>
      <c r="B2456" s="4" t="s">
        <v>90</v>
      </c>
      <c r="C2456" s="5">
        <v>41052.0</v>
      </c>
      <c r="D2456" s="8" t="str">
        <f>+35.155926°</f>
        <v>#ERROR!</v>
      </c>
      <c r="E2456" s="7" t="s">
        <v>4034</v>
      </c>
    </row>
    <row r="2457">
      <c r="A2457" s="3" t="s">
        <v>4000</v>
      </c>
      <c r="B2457" s="4" t="s">
        <v>1335</v>
      </c>
      <c r="C2457" s="5">
        <v>49683.0</v>
      </c>
      <c r="D2457" s="8" t="str">
        <f>+35.991694°</f>
        <v>#ERROR!</v>
      </c>
      <c r="E2457" s="7" t="s">
        <v>4035</v>
      </c>
    </row>
    <row r="2458">
      <c r="A2458" s="3" t="s">
        <v>4000</v>
      </c>
      <c r="B2458" s="4" t="s">
        <v>4036</v>
      </c>
      <c r="C2458" s="5">
        <v>29485.0</v>
      </c>
      <c r="D2458" s="8" t="str">
        <f>+35.202723°</f>
        <v>#ERROR!</v>
      </c>
      <c r="E2458" s="7" t="s">
        <v>4037</v>
      </c>
    </row>
    <row r="2459">
      <c r="A2459" s="3" t="s">
        <v>4000</v>
      </c>
      <c r="B2459" s="4" t="s">
        <v>4038</v>
      </c>
      <c r="C2459" s="5">
        <v>22657.0</v>
      </c>
      <c r="D2459" s="8" t="str">
        <f>+36.277463°</f>
        <v>#ERROR!</v>
      </c>
      <c r="E2459" s="7" t="s">
        <v>4039</v>
      </c>
    </row>
    <row r="2460">
      <c r="A2460" s="3" t="s">
        <v>4000</v>
      </c>
      <c r="B2460" s="4" t="s">
        <v>96</v>
      </c>
      <c r="C2460" s="5">
        <v>68831.0</v>
      </c>
      <c r="D2460" s="8" t="str">
        <f>+36.178998°</f>
        <v>#ERROR!</v>
      </c>
      <c r="E2460" s="7" t="s">
        <v>4040</v>
      </c>
    </row>
    <row r="2461">
      <c r="A2461" s="3" t="s">
        <v>4000</v>
      </c>
      <c r="B2461" s="4" t="s">
        <v>1191</v>
      </c>
      <c r="C2461" s="5">
        <v>13703.0</v>
      </c>
      <c r="D2461" s="8" t="str">
        <f>+35.387273°</f>
        <v>#ERROR!</v>
      </c>
      <c r="E2461" s="7" t="s">
        <v>4041</v>
      </c>
    </row>
    <row r="2462">
      <c r="A2462" s="3" t="s">
        <v>4000</v>
      </c>
      <c r="B2462" s="4" t="s">
        <v>4042</v>
      </c>
      <c r="C2462" s="5">
        <v>62544.0</v>
      </c>
      <c r="D2462" s="8" t="str">
        <f>+36.218397°</f>
        <v>#ERROR!</v>
      </c>
      <c r="E2462" s="7" t="s">
        <v>4043</v>
      </c>
    </row>
    <row r="2463">
      <c r="A2463" s="3" t="s">
        <v>4000</v>
      </c>
      <c r="B2463" s="4" t="s">
        <v>708</v>
      </c>
      <c r="C2463" s="5">
        <v>336463.0</v>
      </c>
      <c r="D2463" s="8" t="str">
        <f>+35.159186°</f>
        <v>#ERROR!</v>
      </c>
      <c r="E2463" s="7" t="s">
        <v>4044</v>
      </c>
    </row>
    <row r="2464">
      <c r="A2464" s="3" t="s">
        <v>4000</v>
      </c>
      <c r="B2464" s="4" t="s">
        <v>907</v>
      </c>
      <c r="C2464" s="5">
        <v>6819.0</v>
      </c>
      <c r="D2464" s="8" t="str">
        <f>+36.521420°</f>
        <v>#ERROR!</v>
      </c>
      <c r="E2464" s="7" t="s">
        <v>4045</v>
      </c>
    </row>
    <row r="2465">
      <c r="A2465" s="3" t="s">
        <v>4000</v>
      </c>
      <c r="B2465" s="4" t="s">
        <v>4046</v>
      </c>
      <c r="C2465" s="5">
        <v>27253.0</v>
      </c>
      <c r="D2465" s="8" t="str">
        <f>+35.218131°</f>
        <v>#ERROR!</v>
      </c>
      <c r="E2465" s="7" t="s">
        <v>4047</v>
      </c>
    </row>
    <row r="2466">
      <c r="A2466" s="3" t="s">
        <v>4000</v>
      </c>
      <c r="B2466" s="4" t="s">
        <v>1195</v>
      </c>
      <c r="C2466" s="5">
        <v>26026.0</v>
      </c>
      <c r="D2466" s="8" t="str">
        <f>+35.201893°</f>
        <v>#ERROR!</v>
      </c>
      <c r="E2466" s="7" t="s">
        <v>4048</v>
      </c>
    </row>
    <row r="2467">
      <c r="A2467" s="3" t="s">
        <v>4000</v>
      </c>
      <c r="B2467" s="4" t="s">
        <v>4049</v>
      </c>
      <c r="C2467" s="5">
        <v>56833.0</v>
      </c>
      <c r="D2467" s="8" t="str">
        <f>+36.452206°</f>
        <v>#ERROR!</v>
      </c>
      <c r="E2467" s="7" t="s">
        <v>4050</v>
      </c>
    </row>
    <row r="2468">
      <c r="A2468" s="3" t="s">
        <v>4000</v>
      </c>
      <c r="B2468" s="4" t="s">
        <v>3236</v>
      </c>
      <c r="C2468" s="5">
        <v>18787.0</v>
      </c>
      <c r="D2468" s="8" t="str">
        <f>+35.586690°</f>
        <v>#ERROR!</v>
      </c>
      <c r="E2468" s="7" t="s">
        <v>4051</v>
      </c>
    </row>
    <row r="2469">
      <c r="A2469" s="3" t="s">
        <v>4000</v>
      </c>
      <c r="B2469" s="4" t="s">
        <v>1197</v>
      </c>
      <c r="C2469" s="5">
        <v>27769.0</v>
      </c>
      <c r="D2469" s="8" t="str">
        <f>+35.653995°</f>
        <v>#ERROR!</v>
      </c>
      <c r="E2469" s="7" t="s">
        <v>4052</v>
      </c>
    </row>
    <row r="2470">
      <c r="A2470" s="3" t="s">
        <v>4000</v>
      </c>
      <c r="B2470" s="4" t="s">
        <v>102</v>
      </c>
      <c r="C2470" s="5">
        <v>32330.0</v>
      </c>
      <c r="D2470" s="8" t="str">
        <f>+36.325398°</f>
        <v>#ERROR!</v>
      </c>
      <c r="E2470" s="7" t="s">
        <v>4053</v>
      </c>
    </row>
    <row r="2471">
      <c r="A2471" s="3" t="s">
        <v>4000</v>
      </c>
      <c r="B2471" s="4" t="s">
        <v>1831</v>
      </c>
      <c r="C2471" s="5">
        <v>24690.0</v>
      </c>
      <c r="D2471" s="8" t="str">
        <f>+35.802396°</f>
        <v>#ERROR!</v>
      </c>
      <c r="E2471" s="7" t="s">
        <v>4054</v>
      </c>
    </row>
    <row r="2472">
      <c r="A2472" s="3" t="s">
        <v>4000</v>
      </c>
      <c r="B2472" s="4" t="s">
        <v>105</v>
      </c>
      <c r="C2472" s="5">
        <v>8426.0</v>
      </c>
      <c r="D2472" s="8" t="str">
        <f>+36.285777°</f>
        <v>#ERROR!</v>
      </c>
      <c r="E2472" s="7" t="s">
        <v>4055</v>
      </c>
    </row>
    <row r="2473">
      <c r="A2473" s="3" t="s">
        <v>4000</v>
      </c>
      <c r="B2473" s="4" t="s">
        <v>2467</v>
      </c>
      <c r="C2473" s="5">
        <v>18538.0</v>
      </c>
      <c r="D2473" s="8" t="str">
        <f>+36.040440°</f>
        <v>#ERROR!</v>
      </c>
      <c r="E2473" s="7" t="s">
        <v>4056</v>
      </c>
    </row>
    <row r="2474">
      <c r="A2474" s="3" t="s">
        <v>4000</v>
      </c>
      <c r="B2474" s="4" t="s">
        <v>108</v>
      </c>
      <c r="C2474" s="5">
        <v>11638.0</v>
      </c>
      <c r="D2474" s="8" t="str">
        <f>+36.354242°</f>
        <v>#ERROR!</v>
      </c>
      <c r="E2474" s="7" t="s">
        <v>4057</v>
      </c>
    </row>
    <row r="2475">
      <c r="A2475" s="3" t="s">
        <v>4000</v>
      </c>
      <c r="B2475" s="4" t="s">
        <v>111</v>
      </c>
      <c r="C2475" s="5">
        <v>51407.0</v>
      </c>
      <c r="D2475" s="8" t="str">
        <f>+36.048479°</f>
        <v>#ERROR!</v>
      </c>
      <c r="E2475" s="7" t="s">
        <v>4058</v>
      </c>
    </row>
    <row r="2476">
      <c r="A2476" s="3" t="s">
        <v>4000</v>
      </c>
      <c r="B2476" s="4" t="s">
        <v>336</v>
      </c>
      <c r="C2476" s="5">
        <v>18244.0</v>
      </c>
      <c r="D2476" s="8" t="str">
        <f>+36.453204°</f>
        <v>#ERROR!</v>
      </c>
      <c r="E2476" s="7" t="s">
        <v>4059</v>
      </c>
    </row>
    <row r="2477">
      <c r="A2477" s="3" t="s">
        <v>4000</v>
      </c>
      <c r="B2477" s="4" t="s">
        <v>1216</v>
      </c>
      <c r="C2477" s="5">
        <v>432226.0</v>
      </c>
      <c r="D2477" s="8" t="str">
        <f>+35.992727°</f>
        <v>#ERROR!</v>
      </c>
      <c r="E2477" s="7" t="s">
        <v>4060</v>
      </c>
    </row>
    <row r="2478">
      <c r="A2478" s="3" t="s">
        <v>4000</v>
      </c>
      <c r="B2478" s="4" t="s">
        <v>439</v>
      </c>
      <c r="C2478" s="5">
        <v>7832.0</v>
      </c>
      <c r="D2478" s="8" t="str">
        <f>+36.333905°</f>
        <v>#ERROR!</v>
      </c>
      <c r="E2478" s="7" t="s">
        <v>4061</v>
      </c>
    </row>
    <row r="2479">
      <c r="A2479" s="3" t="s">
        <v>4000</v>
      </c>
      <c r="B2479" s="4" t="s">
        <v>117</v>
      </c>
      <c r="C2479" s="5">
        <v>27815.0</v>
      </c>
      <c r="D2479" s="8" t="str">
        <f>+35.762951°</f>
        <v>#ERROR!</v>
      </c>
      <c r="E2479" s="7" t="s">
        <v>4062</v>
      </c>
    </row>
    <row r="2480">
      <c r="A2480" s="3" t="s">
        <v>4000</v>
      </c>
      <c r="B2480" s="4" t="s">
        <v>120</v>
      </c>
      <c r="C2480" s="5">
        <v>41869.0</v>
      </c>
      <c r="D2480" s="8" t="str">
        <f>+35.220476°</f>
        <v>#ERROR!</v>
      </c>
      <c r="E2480" s="7" t="s">
        <v>4063</v>
      </c>
    </row>
    <row r="2481">
      <c r="A2481" s="3" t="s">
        <v>4000</v>
      </c>
      <c r="B2481" s="4" t="s">
        <v>1118</v>
      </c>
      <c r="C2481" s="5">
        <v>12161.0</v>
      </c>
      <c r="D2481" s="8" t="str">
        <f>+35.523244°</f>
        <v>#ERROR!</v>
      </c>
      <c r="E2481" s="7" t="s">
        <v>4064</v>
      </c>
    </row>
    <row r="2482">
      <c r="A2482" s="3" t="s">
        <v>4000</v>
      </c>
      <c r="B2482" s="4" t="s">
        <v>342</v>
      </c>
      <c r="C2482" s="5">
        <v>33361.0</v>
      </c>
      <c r="D2482" s="8" t="str">
        <f>+35.142532°</f>
        <v>#ERROR!</v>
      </c>
      <c r="E2482" s="7" t="s">
        <v>4065</v>
      </c>
    </row>
    <row r="2483">
      <c r="A2483" s="3" t="s">
        <v>4000</v>
      </c>
      <c r="B2483" s="4" t="s">
        <v>4066</v>
      </c>
      <c r="C2483" s="5">
        <v>48556.0</v>
      </c>
      <c r="D2483" s="8" t="str">
        <f>+35.737450°</f>
        <v>#ERROR!</v>
      </c>
      <c r="E2483" s="7" t="s">
        <v>4067</v>
      </c>
    </row>
    <row r="2484">
      <c r="A2484" s="3" t="s">
        <v>4000</v>
      </c>
      <c r="B2484" s="4" t="s">
        <v>4068</v>
      </c>
      <c r="C2484" s="5">
        <v>52266.0</v>
      </c>
      <c r="D2484" s="8" t="str">
        <f>+35.424471°</f>
        <v>#ERROR!</v>
      </c>
      <c r="E2484" s="7" t="s">
        <v>4069</v>
      </c>
    </row>
    <row r="2485">
      <c r="A2485" s="3" t="s">
        <v>4000</v>
      </c>
      <c r="B2485" s="4" t="s">
        <v>4070</v>
      </c>
      <c r="C2485" s="5">
        <v>26075.0</v>
      </c>
      <c r="D2485" s="8" t="str">
        <f>+35.175626°</f>
        <v>#ERROR!</v>
      </c>
      <c r="E2485" s="7" t="s">
        <v>4071</v>
      </c>
    </row>
    <row r="2486">
      <c r="A2486" s="3" t="s">
        <v>4000</v>
      </c>
      <c r="B2486" s="4" t="s">
        <v>132</v>
      </c>
      <c r="C2486" s="5">
        <v>22248.0</v>
      </c>
      <c r="D2486" s="8" t="str">
        <f>+36.537838°</f>
        <v>#ERROR!</v>
      </c>
      <c r="E2486" s="7" t="s">
        <v>4072</v>
      </c>
    </row>
    <row r="2487">
      <c r="A2487" s="3" t="s">
        <v>4000</v>
      </c>
      <c r="B2487" s="4" t="s">
        <v>135</v>
      </c>
      <c r="C2487" s="5">
        <v>98294.0</v>
      </c>
      <c r="D2487" s="8" t="str">
        <f>+35.606056°</f>
        <v>#ERROR!</v>
      </c>
      <c r="E2487" s="7" t="s">
        <v>4073</v>
      </c>
    </row>
    <row r="2488">
      <c r="A2488" s="3" t="s">
        <v>4000</v>
      </c>
      <c r="B2488" s="4" t="s">
        <v>141</v>
      </c>
      <c r="C2488" s="5">
        <v>28237.0</v>
      </c>
      <c r="D2488" s="8" t="str">
        <f>+35.133422°</f>
        <v>#ERROR!</v>
      </c>
      <c r="E2488" s="7" t="s">
        <v>4074</v>
      </c>
    </row>
    <row r="2489">
      <c r="A2489" s="3" t="s">
        <v>4000</v>
      </c>
      <c r="B2489" s="4" t="s">
        <v>143</v>
      </c>
      <c r="C2489" s="5">
        <v>30617.0</v>
      </c>
      <c r="D2489" s="8" t="str">
        <f>+35.468387°</f>
        <v>#ERROR!</v>
      </c>
      <c r="E2489" s="7" t="s">
        <v>4075</v>
      </c>
    </row>
    <row r="2490">
      <c r="A2490" s="3" t="s">
        <v>4000</v>
      </c>
      <c r="B2490" s="4" t="s">
        <v>4076</v>
      </c>
      <c r="C2490" s="5">
        <v>80956.0</v>
      </c>
      <c r="D2490" s="8" t="str">
        <f>+35.615696°</f>
        <v>#ERROR!</v>
      </c>
      <c r="E2490" s="7" t="s">
        <v>4077</v>
      </c>
    </row>
    <row r="2491">
      <c r="A2491" s="3" t="s">
        <v>4000</v>
      </c>
      <c r="B2491" s="4" t="s">
        <v>3486</v>
      </c>
      <c r="C2491" s="5">
        <v>11753.0</v>
      </c>
      <c r="D2491" s="8" t="str">
        <f>+35.503397°</f>
        <v>#ERROR!</v>
      </c>
      <c r="E2491" s="7" t="s">
        <v>4078</v>
      </c>
    </row>
    <row r="2492">
      <c r="A2492" s="3" t="s">
        <v>4000</v>
      </c>
      <c r="B2492" s="4" t="s">
        <v>147</v>
      </c>
      <c r="C2492" s="5">
        <v>44519.0</v>
      </c>
      <c r="D2492" s="8" t="str">
        <f>+35.447666°</f>
        <v>#ERROR!</v>
      </c>
      <c r="E2492" s="7" t="s">
        <v>4079</v>
      </c>
    </row>
    <row r="2493">
      <c r="A2493" s="3" t="s">
        <v>4000</v>
      </c>
      <c r="B2493" s="4" t="s">
        <v>149</v>
      </c>
      <c r="C2493" s="5">
        <v>172331.0</v>
      </c>
      <c r="D2493" s="8" t="str">
        <f>+36.500354°</f>
        <v>#ERROR!</v>
      </c>
      <c r="E2493" s="7" t="s">
        <v>4080</v>
      </c>
    </row>
    <row r="2494">
      <c r="A2494" s="3" t="s">
        <v>4000</v>
      </c>
      <c r="B2494" s="4" t="s">
        <v>3264</v>
      </c>
      <c r="C2494" s="5">
        <v>6362.0</v>
      </c>
      <c r="D2494" s="8" t="str">
        <f>+35.288889°</f>
        <v>#ERROR!</v>
      </c>
      <c r="E2494" s="7" t="s">
        <v>4081</v>
      </c>
    </row>
    <row r="2495">
      <c r="A2495" s="3" t="s">
        <v>4000</v>
      </c>
      <c r="B2495" s="4" t="s">
        <v>151</v>
      </c>
      <c r="C2495" s="5">
        <v>21987.0</v>
      </c>
      <c r="D2495" s="8" t="str">
        <f>+36.138697°</f>
        <v>#ERROR!</v>
      </c>
      <c r="E2495" s="7" t="s">
        <v>4082</v>
      </c>
    </row>
    <row r="2496">
      <c r="A2496" s="3" t="s">
        <v>4000</v>
      </c>
      <c r="B2496" s="4" t="s">
        <v>4083</v>
      </c>
      <c r="C2496" s="5">
        <v>31807.0</v>
      </c>
      <c r="D2496" s="8" t="str">
        <f>+36.358175°</f>
        <v>#ERROR!</v>
      </c>
      <c r="E2496" s="7" t="s">
        <v>4084</v>
      </c>
    </row>
    <row r="2497">
      <c r="A2497" s="3" t="s">
        <v>4000</v>
      </c>
      <c r="B2497" s="4" t="s">
        <v>4085</v>
      </c>
      <c r="C2497" s="5">
        <v>22083.0</v>
      </c>
      <c r="D2497" s="8" t="str">
        <f>+36.344850°</f>
        <v>#ERROR!</v>
      </c>
      <c r="E2497" s="7" t="s">
        <v>4086</v>
      </c>
    </row>
    <row r="2498">
      <c r="A2498" s="3" t="s">
        <v>4000</v>
      </c>
      <c r="B2498" s="4" t="s">
        <v>153</v>
      </c>
      <c r="C2498" s="5">
        <v>7915.0</v>
      </c>
      <c r="D2498" s="8" t="str">
        <f>+35.659785°</f>
        <v>#ERROR!</v>
      </c>
      <c r="E2498" s="7" t="s">
        <v>4087</v>
      </c>
    </row>
    <row r="2499">
      <c r="A2499" s="3" t="s">
        <v>4000</v>
      </c>
      <c r="B2499" s="4" t="s">
        <v>4088</v>
      </c>
      <c r="C2499" s="5">
        <v>5077.0</v>
      </c>
      <c r="D2499" s="8" t="str">
        <f>+36.559364°</f>
        <v>#ERROR!</v>
      </c>
      <c r="E2499" s="7" t="s">
        <v>4089</v>
      </c>
    </row>
    <row r="2500">
      <c r="A2500" s="3" t="s">
        <v>4000</v>
      </c>
      <c r="B2500" s="4" t="s">
        <v>370</v>
      </c>
      <c r="C2500" s="5">
        <v>16825.0</v>
      </c>
      <c r="D2500" s="8" t="str">
        <f>+35.109437°</f>
        <v>#ERROR!</v>
      </c>
      <c r="E2500" s="7" t="s">
        <v>4090</v>
      </c>
    </row>
    <row r="2501">
      <c r="A2501" s="3" t="s">
        <v>4000</v>
      </c>
      <c r="B2501" s="4" t="s">
        <v>760</v>
      </c>
      <c r="C2501" s="5">
        <v>72321.0</v>
      </c>
      <c r="D2501" s="8" t="str">
        <f>+36.140807°</f>
        <v>#ERROR!</v>
      </c>
      <c r="E2501" s="7" t="s">
        <v>4091</v>
      </c>
    </row>
    <row r="2502">
      <c r="A2502" s="3" t="s">
        <v>4000</v>
      </c>
      <c r="B2502" s="4" t="s">
        <v>4092</v>
      </c>
      <c r="C2502" s="5">
        <v>31809.0</v>
      </c>
      <c r="D2502" s="8" t="str">
        <f>+35.600587°</f>
        <v>#ERROR!</v>
      </c>
      <c r="E2502" s="7" t="s">
        <v>4093</v>
      </c>
    </row>
    <row r="2503">
      <c r="A2503" s="3" t="s">
        <v>4000</v>
      </c>
      <c r="B2503" s="4" t="s">
        <v>4094</v>
      </c>
      <c r="C2503" s="5">
        <v>54181.0</v>
      </c>
      <c r="D2503" s="8" t="str">
        <f>+35.847472°</f>
        <v>#ERROR!</v>
      </c>
      <c r="E2503" s="7" t="s">
        <v>4095</v>
      </c>
    </row>
    <row r="2504">
      <c r="A2504" s="3" t="s">
        <v>4000</v>
      </c>
      <c r="B2504" s="4" t="s">
        <v>1900</v>
      </c>
      <c r="C2504" s="5">
        <v>66283.0</v>
      </c>
      <c r="D2504" s="8" t="str">
        <f>+36.527530°</f>
        <v>#ERROR!</v>
      </c>
      <c r="E2504" s="7" t="s">
        <v>4096</v>
      </c>
    </row>
    <row r="2505">
      <c r="A2505" s="3" t="s">
        <v>4000</v>
      </c>
      <c r="B2505" s="4" t="s">
        <v>3294</v>
      </c>
      <c r="C2505" s="5">
        <v>262604.0</v>
      </c>
      <c r="D2505" s="8" t="str">
        <f>+35.843369°</f>
        <v>#ERROR!</v>
      </c>
      <c r="E2505" s="7" t="s">
        <v>4097</v>
      </c>
    </row>
    <row r="2506">
      <c r="A2506" s="3" t="s">
        <v>4000</v>
      </c>
      <c r="B2506" s="4" t="s">
        <v>383</v>
      </c>
      <c r="C2506" s="5">
        <v>22228.0</v>
      </c>
      <c r="D2506" s="8" t="str">
        <f>+36.437239°</f>
        <v>#ERROR!</v>
      </c>
      <c r="E2506" s="7" t="s">
        <v>4098</v>
      </c>
    </row>
    <row r="2507">
      <c r="A2507" s="3" t="s">
        <v>4000</v>
      </c>
      <c r="B2507" s="4" t="s">
        <v>4099</v>
      </c>
      <c r="C2507" s="5">
        <v>14112.0</v>
      </c>
      <c r="D2507" s="8" t="str">
        <f>+35.372335°</f>
        <v>#ERROR!</v>
      </c>
      <c r="E2507" s="7" t="s">
        <v>4100</v>
      </c>
    </row>
    <row r="2508">
      <c r="A2508" s="3" t="s">
        <v>4000</v>
      </c>
      <c r="B2508" s="4" t="s">
        <v>389</v>
      </c>
      <c r="C2508" s="5">
        <v>89889.0</v>
      </c>
      <c r="D2508" s="8" t="str">
        <f>+35.791284°</f>
        <v>#ERROR!</v>
      </c>
      <c r="E2508" s="7" t="s">
        <v>4101</v>
      </c>
    </row>
    <row r="2509">
      <c r="A2509" s="3" t="s">
        <v>4000</v>
      </c>
      <c r="B2509" s="4" t="s">
        <v>165</v>
      </c>
      <c r="C2509" s="5">
        <v>927644.0</v>
      </c>
      <c r="D2509" s="8" t="str">
        <f>+35.183794°</f>
        <v>#ERROR!</v>
      </c>
      <c r="E2509" s="7" t="s">
        <v>4102</v>
      </c>
    </row>
    <row r="2510">
      <c r="A2510" s="3" t="s">
        <v>4000</v>
      </c>
      <c r="B2510" s="4" t="s">
        <v>1726</v>
      </c>
      <c r="C2510" s="5">
        <v>19166.0</v>
      </c>
      <c r="D2510" s="8" t="str">
        <f>+36.255650°</f>
        <v>#ERROR!</v>
      </c>
      <c r="E2510" s="7" t="s">
        <v>4103</v>
      </c>
    </row>
    <row r="2511">
      <c r="A2511" s="3" t="s">
        <v>4000</v>
      </c>
      <c r="B2511" s="4" t="s">
        <v>998</v>
      </c>
      <c r="C2511" s="5">
        <v>13324.0</v>
      </c>
      <c r="D2511" s="8" t="str">
        <f>+36.511756°</f>
        <v>#ERROR!</v>
      </c>
      <c r="E2511" s="7" t="s">
        <v>4104</v>
      </c>
    </row>
    <row r="2512">
      <c r="A2512" s="3" t="s">
        <v>4000</v>
      </c>
      <c r="B2512" s="4" t="s">
        <v>1408</v>
      </c>
      <c r="C2512" s="5">
        <v>156823.0</v>
      </c>
      <c r="D2512" s="8" t="str">
        <f>+36.510212°</f>
        <v>#ERROR!</v>
      </c>
      <c r="E2512" s="7" t="s">
        <v>4105</v>
      </c>
    </row>
    <row r="2513">
      <c r="A2513" s="3" t="s">
        <v>4000</v>
      </c>
      <c r="B2513" s="4" t="s">
        <v>1734</v>
      </c>
      <c r="C2513" s="5">
        <v>160645.0</v>
      </c>
      <c r="D2513" s="8" t="str">
        <f>+36.470015°</f>
        <v>#ERROR!</v>
      </c>
      <c r="E2513" s="7" t="s">
        <v>4106</v>
      </c>
    </row>
    <row r="2514">
      <c r="A2514" s="3" t="s">
        <v>4000</v>
      </c>
      <c r="B2514" s="4" t="s">
        <v>1414</v>
      </c>
      <c r="C2514" s="5">
        <v>61081.0</v>
      </c>
      <c r="D2514" s="8" t="str">
        <f>+35.500297°</f>
        <v>#ERROR!</v>
      </c>
      <c r="E2514" s="7" t="s">
        <v>4107</v>
      </c>
    </row>
    <row r="2515">
      <c r="A2515" s="3" t="s">
        <v>4000</v>
      </c>
      <c r="B2515" s="4" t="s">
        <v>4108</v>
      </c>
      <c r="C2515" s="5">
        <v>7870.0</v>
      </c>
      <c r="D2515" s="8" t="str">
        <f>+36.393030°</f>
        <v>#ERROR!</v>
      </c>
      <c r="E2515" s="7" t="s">
        <v>4109</v>
      </c>
    </row>
    <row r="2516">
      <c r="A2516" s="3" t="s">
        <v>4000</v>
      </c>
      <c r="B2516" s="4" t="s">
        <v>4110</v>
      </c>
      <c r="C2516" s="5">
        <v>18313.0</v>
      </c>
      <c r="D2516" s="8" t="str">
        <f>+36.100215°</f>
        <v>#ERROR!</v>
      </c>
      <c r="E2516" s="7" t="s">
        <v>4111</v>
      </c>
    </row>
    <row r="2517">
      <c r="A2517" s="3" t="s">
        <v>4000</v>
      </c>
      <c r="B2517" s="4" t="s">
        <v>395</v>
      </c>
      <c r="C2517" s="5">
        <v>19109.0</v>
      </c>
      <c r="D2517" s="8" t="str">
        <f>+36.284140°</f>
        <v>#ERROR!</v>
      </c>
      <c r="E2517" s="7" t="s">
        <v>4112</v>
      </c>
    </row>
    <row r="2518">
      <c r="A2518" s="3" t="s">
        <v>4000</v>
      </c>
      <c r="B2518" s="4" t="s">
        <v>397</v>
      </c>
      <c r="C2518" s="5">
        <v>5548.0</v>
      </c>
      <c r="D2518" s="8" t="str">
        <f>+35.699245°</f>
        <v>#ERROR!</v>
      </c>
      <c r="E2518" s="7" t="s">
        <v>4113</v>
      </c>
    </row>
    <row r="2519">
      <c r="A2519" s="3" t="s">
        <v>4000</v>
      </c>
      <c r="B2519" s="4" t="s">
        <v>1035</v>
      </c>
      <c r="C2519" s="5">
        <v>39839.0</v>
      </c>
      <c r="D2519" s="8" t="str">
        <f>+35.678282°</f>
        <v>#ERROR!</v>
      </c>
      <c r="E2519" s="7" t="s">
        <v>4114</v>
      </c>
    </row>
    <row r="2520">
      <c r="A2520" s="3" t="s">
        <v>4000</v>
      </c>
      <c r="B2520" s="4" t="s">
        <v>177</v>
      </c>
      <c r="C2520" s="5">
        <v>122979.0</v>
      </c>
      <c r="D2520" s="8" t="str">
        <f>+36.295665°</f>
        <v>#ERROR!</v>
      </c>
      <c r="E2520" s="7" t="s">
        <v>4115</v>
      </c>
    </row>
    <row r="2521">
      <c r="A2521" s="3" t="s">
        <v>4000</v>
      </c>
      <c r="B2521" s="4" t="s">
        <v>1038</v>
      </c>
      <c r="C2521" s="5">
        <v>17021.0</v>
      </c>
      <c r="D2521" s="8" t="str">
        <f>+35.242687°</f>
        <v>#ERROR!</v>
      </c>
      <c r="E2521" s="7" t="s">
        <v>4116</v>
      </c>
    </row>
    <row r="2522">
      <c r="A2522" s="3" t="s">
        <v>4000</v>
      </c>
      <c r="B2522" s="4" t="s">
        <v>4117</v>
      </c>
      <c r="C2522" s="5">
        <v>35021.0</v>
      </c>
      <c r="D2522" s="8" t="str">
        <f>+36.303523°</f>
        <v>#ERROR!</v>
      </c>
      <c r="E2522" s="7" t="s">
        <v>4118</v>
      </c>
    </row>
    <row r="2523">
      <c r="A2523" s="3" t="s">
        <v>4000</v>
      </c>
      <c r="B2523" s="4" t="s">
        <v>400</v>
      </c>
      <c r="C2523" s="5">
        <v>25841.0</v>
      </c>
      <c r="D2523" s="8" t="str">
        <f>+35.927062°</f>
        <v>#ERROR!</v>
      </c>
      <c r="E2523" s="7" t="s">
        <v>4119</v>
      </c>
    </row>
    <row r="2524">
      <c r="A2524" s="3" t="s">
        <v>4000</v>
      </c>
      <c r="B2524" s="4" t="s">
        <v>1294</v>
      </c>
      <c r="C2524" s="5">
        <v>183182.0</v>
      </c>
      <c r="D2524" s="8" t="str">
        <f>+35.894972°</f>
        <v>#ERROR!</v>
      </c>
      <c r="E2524" s="7" t="s">
        <v>4120</v>
      </c>
    </row>
    <row r="2525">
      <c r="A2525" s="3" t="s">
        <v>4000</v>
      </c>
      <c r="B2525" s="4" t="s">
        <v>1746</v>
      </c>
      <c r="C2525" s="5">
        <v>113993.0</v>
      </c>
      <c r="D2525" s="8" t="str">
        <f>+36.148476°</f>
        <v>#ERROR!</v>
      </c>
      <c r="E2525" s="7" t="s">
        <v>4121</v>
      </c>
    </row>
    <row r="2526">
      <c r="A2526" s="3" t="s">
        <v>4122</v>
      </c>
      <c r="B2526" s="4" t="s">
        <v>1581</v>
      </c>
      <c r="C2526" s="5">
        <v>58458.0</v>
      </c>
      <c r="D2526" s="8" t="str">
        <f>+31.841266°</f>
        <v>#ERROR!</v>
      </c>
      <c r="E2526" s="7" t="s">
        <v>4123</v>
      </c>
    </row>
    <row r="2527">
      <c r="A2527" s="3" t="s">
        <v>4122</v>
      </c>
      <c r="B2527" s="4" t="s">
        <v>4124</v>
      </c>
      <c r="C2527" s="5">
        <v>14786.0</v>
      </c>
      <c r="D2527" s="8" t="str">
        <f>+32.312258°</f>
        <v>#ERROR!</v>
      </c>
      <c r="E2527" s="7" t="s">
        <v>4125</v>
      </c>
    </row>
    <row r="2528">
      <c r="A2528" s="3" t="s">
        <v>4122</v>
      </c>
      <c r="B2528" s="4" t="s">
        <v>4126</v>
      </c>
      <c r="C2528" s="5">
        <v>86771.0</v>
      </c>
      <c r="D2528" s="8" t="str">
        <f>+31.251951°</f>
        <v>#ERROR!</v>
      </c>
      <c r="E2528" s="7" t="s">
        <v>4127</v>
      </c>
    </row>
    <row r="2529">
      <c r="A2529" s="3" t="s">
        <v>4122</v>
      </c>
      <c r="B2529" s="4" t="s">
        <v>4128</v>
      </c>
      <c r="C2529" s="5">
        <v>23158.0</v>
      </c>
      <c r="D2529" s="8" t="str">
        <f>+28.104225°</f>
        <v>#ERROR!</v>
      </c>
      <c r="E2529" s="7" t="s">
        <v>4129</v>
      </c>
    </row>
    <row r="2530">
      <c r="A2530" s="3" t="s">
        <v>4122</v>
      </c>
      <c r="B2530" s="4" t="s">
        <v>4130</v>
      </c>
      <c r="C2530" s="5">
        <v>9054.0</v>
      </c>
      <c r="D2530" s="8" t="str">
        <f>+33.616305°</f>
        <v>#ERROR!</v>
      </c>
      <c r="E2530" s="7" t="s">
        <v>4131</v>
      </c>
    </row>
    <row r="2531">
      <c r="A2531" s="3" t="s">
        <v>4122</v>
      </c>
      <c r="B2531" s="4" t="s">
        <v>3713</v>
      </c>
      <c r="C2531" s="5">
        <v>1901.0</v>
      </c>
      <c r="D2531" s="8" t="str">
        <f>+34.964179°</f>
        <v>#ERROR!</v>
      </c>
      <c r="E2531" s="7" t="s">
        <v>4132</v>
      </c>
    </row>
    <row r="2532">
      <c r="A2532" s="3" t="s">
        <v>4122</v>
      </c>
      <c r="B2532" s="4" t="s">
        <v>4133</v>
      </c>
      <c r="C2532" s="5">
        <v>44911.0</v>
      </c>
      <c r="D2532" s="8" t="str">
        <f>+28.894296°</f>
        <v>#ERROR!</v>
      </c>
      <c r="E2532" s="7" t="s">
        <v>4134</v>
      </c>
    </row>
    <row r="2533">
      <c r="A2533" s="3" t="s">
        <v>4122</v>
      </c>
      <c r="B2533" s="4" t="s">
        <v>4135</v>
      </c>
      <c r="C2533" s="5">
        <v>28417.0</v>
      </c>
      <c r="D2533" s="8" t="str">
        <f>+29.891901°</f>
        <v>#ERROR!</v>
      </c>
      <c r="E2533" s="7" t="s">
        <v>4136</v>
      </c>
    </row>
    <row r="2534">
      <c r="A2534" s="3" t="s">
        <v>4122</v>
      </c>
      <c r="B2534" s="4" t="s">
        <v>4137</v>
      </c>
      <c r="C2534" s="5">
        <v>7165.0</v>
      </c>
      <c r="D2534" s="8" t="str">
        <f>+34.067521°</f>
        <v>#ERROR!</v>
      </c>
      <c r="E2534" s="7" t="s">
        <v>4138</v>
      </c>
    </row>
    <row r="2535">
      <c r="A2535" s="3" t="s">
        <v>4122</v>
      </c>
      <c r="B2535" s="4" t="s">
        <v>4139</v>
      </c>
      <c r="C2535" s="5">
        <v>20485.0</v>
      </c>
      <c r="D2535" s="8" t="str">
        <f>+29.755748°</f>
        <v>#ERROR!</v>
      </c>
      <c r="E2535" s="7" t="s">
        <v>4140</v>
      </c>
    </row>
    <row r="2536">
      <c r="A2536" s="3" t="s">
        <v>4122</v>
      </c>
      <c r="B2536" s="4" t="s">
        <v>4141</v>
      </c>
      <c r="C2536" s="5">
        <v>74171.0</v>
      </c>
      <c r="D2536" s="8" t="str">
        <f>+30.103128°</f>
        <v>#ERROR!</v>
      </c>
      <c r="E2536" s="7" t="s">
        <v>4142</v>
      </c>
    </row>
    <row r="2537">
      <c r="A2537" s="3" t="s">
        <v>4122</v>
      </c>
      <c r="B2537" s="4" t="s">
        <v>4143</v>
      </c>
      <c r="C2537" s="5">
        <v>3726.0</v>
      </c>
      <c r="D2537" s="8" t="str">
        <f>+33.618172°</f>
        <v>#ERROR!</v>
      </c>
      <c r="E2537" s="7" t="s">
        <v>4144</v>
      </c>
    </row>
    <row r="2538">
      <c r="A2538" s="3" t="s">
        <v>4122</v>
      </c>
      <c r="B2538" s="4" t="s">
        <v>4145</v>
      </c>
      <c r="C2538" s="5">
        <v>31861.0</v>
      </c>
      <c r="D2538" s="8" t="str">
        <f>+28.416077°</f>
        <v>#ERROR!</v>
      </c>
      <c r="E2538" s="7" t="s">
        <v>4146</v>
      </c>
    </row>
    <row r="2539">
      <c r="A2539" s="3" t="s">
        <v>4122</v>
      </c>
      <c r="B2539" s="4" t="s">
        <v>1762</v>
      </c>
      <c r="C2539" s="5">
        <v>310235.0</v>
      </c>
      <c r="D2539" s="8" t="str">
        <f>+31.042110°</f>
        <v>#ERROR!</v>
      </c>
      <c r="E2539" s="7" t="s">
        <v>4147</v>
      </c>
    </row>
    <row r="2540">
      <c r="A2540" s="3" t="s">
        <v>4122</v>
      </c>
      <c r="B2540" s="4" t="s">
        <v>4148</v>
      </c>
      <c r="C2540" s="5">
        <v>1714773.0</v>
      </c>
      <c r="D2540" s="8" t="str">
        <f>+29.448671°</f>
        <v>#ERROR!</v>
      </c>
      <c r="E2540" s="7" t="s">
        <v>4149</v>
      </c>
    </row>
    <row r="2541">
      <c r="A2541" s="3" t="s">
        <v>4122</v>
      </c>
      <c r="B2541" s="4" t="s">
        <v>4150</v>
      </c>
      <c r="C2541" s="5">
        <v>10497.0</v>
      </c>
      <c r="D2541" s="8" t="str">
        <f>+30.265605°</f>
        <v>#ERROR!</v>
      </c>
      <c r="E2541" s="7" t="s">
        <v>4151</v>
      </c>
    </row>
    <row r="2542">
      <c r="A2542" s="3" t="s">
        <v>4122</v>
      </c>
      <c r="B2542" s="4" t="s">
        <v>4152</v>
      </c>
      <c r="C2542" s="7">
        <v>641.0</v>
      </c>
      <c r="D2542" s="8" t="str">
        <f>+32.744062°</f>
        <v>#ERROR!</v>
      </c>
      <c r="E2542" s="7" t="s">
        <v>4153</v>
      </c>
    </row>
    <row r="2543">
      <c r="A2543" s="3" t="s">
        <v>4122</v>
      </c>
      <c r="B2543" s="4" t="s">
        <v>4154</v>
      </c>
      <c r="C2543" s="5">
        <v>18212.0</v>
      </c>
      <c r="D2543" s="8" t="str">
        <f>+31.900764°</f>
        <v>#ERROR!</v>
      </c>
      <c r="E2543" s="7" t="s">
        <v>4155</v>
      </c>
    </row>
    <row r="2544">
      <c r="A2544" s="3" t="s">
        <v>4122</v>
      </c>
      <c r="B2544" s="4" t="s">
        <v>4156</v>
      </c>
      <c r="C2544" s="5">
        <v>92565.0</v>
      </c>
      <c r="D2544" s="8" t="str">
        <f>+33.446051°</f>
        <v>#ERROR!</v>
      </c>
      <c r="E2544" s="7" t="s">
        <v>4157</v>
      </c>
    </row>
    <row r="2545">
      <c r="A2545" s="3" t="s">
        <v>4122</v>
      </c>
      <c r="B2545" s="4" t="s">
        <v>4158</v>
      </c>
      <c r="C2545" s="5">
        <v>313166.0</v>
      </c>
      <c r="D2545" s="8" t="str">
        <f>+29.167818°</f>
        <v>#ERROR!</v>
      </c>
      <c r="E2545" s="7" t="s">
        <v>4159</v>
      </c>
    </row>
    <row r="2546">
      <c r="A2546" s="3" t="s">
        <v>4122</v>
      </c>
      <c r="B2546" s="4" t="s">
        <v>4160</v>
      </c>
      <c r="C2546" s="5">
        <v>194851.0</v>
      </c>
      <c r="D2546" s="8" t="str">
        <f>+30.656725°</f>
        <v>#ERROR!</v>
      </c>
      <c r="E2546" s="7" t="s">
        <v>4161</v>
      </c>
    </row>
    <row r="2547">
      <c r="A2547" s="3" t="s">
        <v>4122</v>
      </c>
      <c r="B2547" s="4" t="s">
        <v>4162</v>
      </c>
      <c r="C2547" s="5">
        <v>9232.0</v>
      </c>
      <c r="D2547" s="8" t="str">
        <f>+29.808997°</f>
        <v>#ERROR!</v>
      </c>
      <c r="E2547" s="7" t="s">
        <v>4163</v>
      </c>
    </row>
    <row r="2548">
      <c r="A2548" s="3" t="s">
        <v>4122</v>
      </c>
      <c r="B2548" s="4" t="s">
        <v>4164</v>
      </c>
      <c r="C2548" s="5">
        <v>1637.0</v>
      </c>
      <c r="D2548" s="8" t="str">
        <f>+34.525173°</f>
        <v>#ERROR!</v>
      </c>
      <c r="E2548" s="7" t="s">
        <v>4165</v>
      </c>
    </row>
    <row r="2549">
      <c r="A2549" s="3" t="s">
        <v>4122</v>
      </c>
      <c r="B2549" s="4" t="s">
        <v>809</v>
      </c>
      <c r="C2549" s="5">
        <v>7223.0</v>
      </c>
      <c r="D2549" s="8" t="str">
        <f>+27.034994°</f>
        <v>#ERROR!</v>
      </c>
      <c r="E2549" s="7" t="s">
        <v>4166</v>
      </c>
    </row>
    <row r="2550">
      <c r="A2550" s="3" t="s">
        <v>4122</v>
      </c>
      <c r="B2550" s="4" t="s">
        <v>1150</v>
      </c>
      <c r="C2550" s="5">
        <v>38106.0</v>
      </c>
      <c r="D2550" s="8" t="str">
        <f>+31.764103°</f>
        <v>#ERROR!</v>
      </c>
      <c r="E2550" s="7" t="s">
        <v>4167</v>
      </c>
    </row>
    <row r="2551">
      <c r="A2551" s="3" t="s">
        <v>4122</v>
      </c>
      <c r="B2551" s="4" t="s">
        <v>4168</v>
      </c>
      <c r="C2551" s="5">
        <v>17187.0</v>
      </c>
      <c r="D2551" s="8" t="str">
        <f>+30.493487°</f>
        <v>#ERROR!</v>
      </c>
      <c r="E2551" s="7" t="s">
        <v>4169</v>
      </c>
    </row>
    <row r="2552">
      <c r="A2552" s="3" t="s">
        <v>4122</v>
      </c>
      <c r="B2552" s="4" t="s">
        <v>4170</v>
      </c>
      <c r="C2552" s="5">
        <v>42750.0</v>
      </c>
      <c r="D2552" s="8" t="str">
        <f>+30.789616°</f>
        <v>#ERROR!</v>
      </c>
      <c r="E2552" s="7" t="s">
        <v>4171</v>
      </c>
    </row>
    <row r="2553">
      <c r="A2553" s="3" t="s">
        <v>4122</v>
      </c>
      <c r="B2553" s="4" t="s">
        <v>1779</v>
      </c>
      <c r="C2553" s="5">
        <v>38066.0</v>
      </c>
      <c r="D2553" s="8" t="str">
        <f>+29.840422°</f>
        <v>#ERROR!</v>
      </c>
      <c r="E2553" s="7" t="s">
        <v>4172</v>
      </c>
    </row>
    <row r="2554">
      <c r="A2554" s="3" t="s">
        <v>4122</v>
      </c>
      <c r="B2554" s="4" t="s">
        <v>27</v>
      </c>
      <c r="C2554" s="5">
        <v>21381.0</v>
      </c>
      <c r="D2554" s="8" t="str">
        <f>+28.445366°</f>
        <v>#ERROR!</v>
      </c>
      <c r="E2554" s="7" t="s">
        <v>4173</v>
      </c>
    </row>
    <row r="2555">
      <c r="A2555" s="3" t="s">
        <v>4122</v>
      </c>
      <c r="B2555" s="4" t="s">
        <v>4174</v>
      </c>
      <c r="C2555" s="5">
        <v>13544.0</v>
      </c>
      <c r="D2555" s="8" t="str">
        <f>+32.293150°</f>
        <v>#ERROR!</v>
      </c>
      <c r="E2555" s="7" t="s">
        <v>4175</v>
      </c>
    </row>
    <row r="2556">
      <c r="A2556" s="3" t="s">
        <v>4122</v>
      </c>
      <c r="B2556" s="4" t="s">
        <v>1949</v>
      </c>
      <c r="C2556" s="5">
        <v>406220.0</v>
      </c>
      <c r="D2556" s="8" t="str">
        <f>+26.102923°</f>
        <v>#ERROR!</v>
      </c>
      <c r="E2556" s="7" t="s">
        <v>4176</v>
      </c>
    </row>
    <row r="2557">
      <c r="A2557" s="3" t="s">
        <v>4122</v>
      </c>
      <c r="B2557" s="4" t="s">
        <v>4177</v>
      </c>
      <c r="C2557" s="5">
        <v>12401.0</v>
      </c>
      <c r="D2557" s="8" t="str">
        <f>+32.974581°</f>
        <v>#ERROR!</v>
      </c>
      <c r="E2557" s="7" t="s">
        <v>4178</v>
      </c>
    </row>
    <row r="2558">
      <c r="A2558" s="3" t="s">
        <v>4122</v>
      </c>
      <c r="B2558" s="4" t="s">
        <v>4179</v>
      </c>
      <c r="C2558" s="5">
        <v>6182.0</v>
      </c>
      <c r="D2558" s="8" t="str">
        <f>+35.405496°</f>
        <v>#ERROR!</v>
      </c>
      <c r="E2558" s="7" t="s">
        <v>4180</v>
      </c>
    </row>
    <row r="2559">
      <c r="A2559" s="3" t="s">
        <v>4122</v>
      </c>
      <c r="B2559" s="4" t="s">
        <v>1156</v>
      </c>
      <c r="C2559" s="5">
        <v>30464.0</v>
      </c>
      <c r="D2559" s="8" t="str">
        <f>+33.083698°</f>
        <v>#ERROR!</v>
      </c>
      <c r="E2559" s="7" t="s">
        <v>4181</v>
      </c>
    </row>
    <row r="2560">
      <c r="A2560" s="3" t="s">
        <v>4122</v>
      </c>
      <c r="B2560" s="4" t="s">
        <v>4182</v>
      </c>
      <c r="C2560" s="5">
        <v>8062.0</v>
      </c>
      <c r="D2560" s="8" t="str">
        <f>+34.533621°</f>
        <v>#ERROR!</v>
      </c>
      <c r="E2560" s="7" t="s">
        <v>4183</v>
      </c>
    </row>
    <row r="2561">
      <c r="A2561" s="3" t="s">
        <v>4122</v>
      </c>
      <c r="B2561" s="4" t="s">
        <v>30</v>
      </c>
      <c r="C2561" s="5">
        <v>35096.0</v>
      </c>
      <c r="D2561" s="8" t="str">
        <f>+29.703933°</f>
        <v>#ERROR!</v>
      </c>
      <c r="E2561" s="7" t="s">
        <v>4184</v>
      </c>
    </row>
    <row r="2562">
      <c r="A2562" s="3" t="s">
        <v>4122</v>
      </c>
      <c r="B2562" s="4" t="s">
        <v>835</v>
      </c>
      <c r="C2562" s="5">
        <v>50845.0</v>
      </c>
      <c r="D2562" s="8" t="str">
        <f>+31.843859°</f>
        <v>#ERROR!</v>
      </c>
      <c r="E2562" s="7" t="s">
        <v>4185</v>
      </c>
    </row>
    <row r="2563">
      <c r="A2563" s="3" t="s">
        <v>4122</v>
      </c>
      <c r="B2563" s="4" t="s">
        <v>4186</v>
      </c>
      <c r="C2563" s="5">
        <v>7041.0</v>
      </c>
      <c r="D2563" s="8" t="str">
        <f>+34.529337°</f>
        <v>#ERROR!</v>
      </c>
      <c r="E2563" s="7" t="s">
        <v>4187</v>
      </c>
    </row>
    <row r="2564">
      <c r="A2564" s="3" t="s">
        <v>4122</v>
      </c>
      <c r="B2564" s="4" t="s">
        <v>42</v>
      </c>
      <c r="C2564" s="5">
        <v>10752.0</v>
      </c>
      <c r="D2564" s="8" t="str">
        <f>+33.785904°</f>
        <v>#ERROR!</v>
      </c>
      <c r="E2564" s="7" t="s">
        <v>4188</v>
      </c>
    </row>
    <row r="2565">
      <c r="A2565" s="3" t="s">
        <v>4122</v>
      </c>
      <c r="B2565" s="4" t="s">
        <v>4189</v>
      </c>
      <c r="C2565" s="5">
        <v>3127.0</v>
      </c>
      <c r="D2565" s="8" t="str">
        <f>+33.608440°</f>
        <v>#ERROR!</v>
      </c>
      <c r="E2565" s="7" t="s">
        <v>4190</v>
      </c>
    </row>
    <row r="2566">
      <c r="A2566" s="3" t="s">
        <v>4122</v>
      </c>
      <c r="B2566" s="4" t="s">
        <v>4191</v>
      </c>
      <c r="C2566" s="5">
        <v>3320.0</v>
      </c>
      <c r="D2566" s="8" t="str">
        <f>+31.877105°</f>
        <v>#ERROR!</v>
      </c>
      <c r="E2566" s="7" t="s">
        <v>4192</v>
      </c>
    </row>
    <row r="2567">
      <c r="A2567" s="3" t="s">
        <v>4122</v>
      </c>
      <c r="B2567" s="4" t="s">
        <v>4193</v>
      </c>
      <c r="C2567" s="5">
        <v>8895.0</v>
      </c>
      <c r="D2567" s="8" t="str">
        <f>+31.914205°</f>
        <v>#ERROR!</v>
      </c>
      <c r="E2567" s="7" t="s">
        <v>4194</v>
      </c>
    </row>
    <row r="2568">
      <c r="A2568" s="3" t="s">
        <v>4122</v>
      </c>
      <c r="B2568" s="4" t="s">
        <v>4195</v>
      </c>
      <c r="C2568" s="5">
        <v>782341.0</v>
      </c>
      <c r="D2568" s="8" t="str">
        <f>+33.193885°</f>
        <v>#ERROR!</v>
      </c>
      <c r="E2568" s="7" t="s">
        <v>4196</v>
      </c>
    </row>
    <row r="2569">
      <c r="A2569" s="3" t="s">
        <v>4122</v>
      </c>
      <c r="B2569" s="4" t="s">
        <v>4197</v>
      </c>
      <c r="C2569" s="5">
        <v>3057.0</v>
      </c>
      <c r="D2569" s="8" t="str">
        <f>+34.963358°</f>
        <v>#ERROR!</v>
      </c>
      <c r="E2569" s="7" t="s">
        <v>4198</v>
      </c>
    </row>
    <row r="2570">
      <c r="A2570" s="3" t="s">
        <v>4122</v>
      </c>
      <c r="B2570" s="4" t="s">
        <v>4199</v>
      </c>
      <c r="C2570" s="5">
        <v>20874.0</v>
      </c>
      <c r="D2570" s="8" t="str">
        <f>+29.595908°</f>
        <v>#ERROR!</v>
      </c>
      <c r="E2570" s="7" t="s">
        <v>4200</v>
      </c>
    </row>
    <row r="2571">
      <c r="A2571" s="3" t="s">
        <v>4122</v>
      </c>
      <c r="B2571" s="4" t="s">
        <v>4201</v>
      </c>
      <c r="C2571" s="5">
        <v>108472.0</v>
      </c>
      <c r="D2571" s="8" t="str">
        <f>+29.803019°</f>
        <v>#ERROR!</v>
      </c>
      <c r="E2571" s="7" t="s">
        <v>4202</v>
      </c>
    </row>
    <row r="2572">
      <c r="A2572" s="3" t="s">
        <v>4122</v>
      </c>
      <c r="B2572" s="4" t="s">
        <v>1605</v>
      </c>
      <c r="C2572" s="5">
        <v>13974.0</v>
      </c>
      <c r="D2572" s="8" t="str">
        <f>+31.951645°</f>
        <v>#ERROR!</v>
      </c>
      <c r="E2572" s="7" t="s">
        <v>4203</v>
      </c>
    </row>
    <row r="2573">
      <c r="A2573" s="3" t="s">
        <v>4122</v>
      </c>
      <c r="B2573" s="4" t="s">
        <v>4204</v>
      </c>
      <c r="C2573" s="5">
        <v>4087.0</v>
      </c>
      <c r="D2573" s="8" t="str">
        <f>+31.318865°</f>
        <v>#ERROR!</v>
      </c>
      <c r="E2573" s="7" t="s">
        <v>4205</v>
      </c>
    </row>
    <row r="2574">
      <c r="A2574" s="3" t="s">
        <v>4122</v>
      </c>
      <c r="B2574" s="4" t="s">
        <v>4206</v>
      </c>
      <c r="C2574" s="5">
        <v>38437.0</v>
      </c>
      <c r="D2574" s="8" t="str">
        <f>+33.639169°</f>
        <v>#ERROR!</v>
      </c>
      <c r="E2574" s="7" t="s">
        <v>4207</v>
      </c>
    </row>
    <row r="2575">
      <c r="A2575" s="3" t="s">
        <v>4122</v>
      </c>
      <c r="B2575" s="4" t="s">
        <v>4208</v>
      </c>
      <c r="C2575" s="5">
        <v>75388.0</v>
      </c>
      <c r="D2575" s="8" t="str">
        <f>+31.391177°</f>
        <v>#ERROR!</v>
      </c>
      <c r="E2575" s="7" t="s">
        <v>4209</v>
      </c>
    </row>
    <row r="2576">
      <c r="A2576" s="3" t="s">
        <v>4122</v>
      </c>
      <c r="B2576" s="4" t="s">
        <v>4210</v>
      </c>
      <c r="C2576" s="5">
        <v>1505.0</v>
      </c>
      <c r="D2576" s="8" t="str">
        <f>+34.091906°</f>
        <v>#ERROR!</v>
      </c>
      <c r="E2576" s="7" t="s">
        <v>4211</v>
      </c>
    </row>
    <row r="2577">
      <c r="A2577" s="3" t="s">
        <v>4122</v>
      </c>
      <c r="B2577" s="4" t="s">
        <v>4212</v>
      </c>
      <c r="C2577" s="5">
        <v>4375.0</v>
      </c>
      <c r="D2577" s="8" t="str">
        <f>+31.422797°</f>
        <v>#ERROR!</v>
      </c>
      <c r="E2577" s="7" t="s">
        <v>4213</v>
      </c>
    </row>
    <row r="2578">
      <c r="A2578" s="3" t="s">
        <v>4122</v>
      </c>
      <c r="B2578" s="4" t="s">
        <v>4021</v>
      </c>
      <c r="C2578" s="5">
        <v>3719.0</v>
      </c>
      <c r="D2578" s="8" t="str">
        <f>+30.717532°</f>
        <v>#ERROR!</v>
      </c>
      <c r="E2578" s="7" t="s">
        <v>4214</v>
      </c>
    </row>
    <row r="2579">
      <c r="A2579" s="3" t="s">
        <v>4122</v>
      </c>
      <c r="B2579" s="4" t="s">
        <v>4215</v>
      </c>
      <c r="C2579" s="5">
        <v>6059.0</v>
      </c>
      <c r="D2579" s="8" t="str">
        <f>+33.609144°</f>
        <v>#ERROR!</v>
      </c>
      <c r="E2579" s="7" t="s">
        <v>4216</v>
      </c>
    </row>
    <row r="2580">
      <c r="A2580" s="3" t="s">
        <v>4122</v>
      </c>
      <c r="B2580" s="4" t="s">
        <v>4217</v>
      </c>
      <c r="C2580" s="5">
        <v>2398.0</v>
      </c>
      <c r="D2580" s="8" t="str">
        <f>+31.445909°</f>
        <v>#ERROR!</v>
      </c>
      <c r="E2580" s="7" t="s">
        <v>4218</v>
      </c>
    </row>
    <row r="2581">
      <c r="A2581" s="3" t="s">
        <v>4122</v>
      </c>
      <c r="B2581" s="4" t="s">
        <v>4219</v>
      </c>
      <c r="C2581" s="5">
        <v>6703.0</v>
      </c>
      <c r="D2581" s="8" t="str">
        <f>+36.286370°</f>
        <v>#ERROR!</v>
      </c>
      <c r="E2581" s="7" t="s">
        <v>4220</v>
      </c>
    </row>
    <row r="2582">
      <c r="A2582" s="3" t="s">
        <v>4122</v>
      </c>
      <c r="B2582" s="4" t="s">
        <v>72</v>
      </c>
      <c r="C2582" s="5">
        <v>2368139.0</v>
      </c>
      <c r="D2582" s="8" t="str">
        <f>+32.766987°</f>
        <v>#ERROR!</v>
      </c>
      <c r="E2582" s="7" t="s">
        <v>4221</v>
      </c>
    </row>
    <row r="2583">
      <c r="A2583" s="3" t="s">
        <v>4122</v>
      </c>
      <c r="B2583" s="4" t="s">
        <v>858</v>
      </c>
      <c r="C2583" s="5">
        <v>13833.0</v>
      </c>
      <c r="D2583" s="8" t="str">
        <f>+32.741934°</f>
        <v>#ERROR!</v>
      </c>
      <c r="E2583" s="7" t="s">
        <v>4222</v>
      </c>
    </row>
    <row r="2584">
      <c r="A2584" s="3" t="s">
        <v>4122</v>
      </c>
      <c r="B2584" s="4" t="s">
        <v>4223</v>
      </c>
      <c r="C2584" s="5">
        <v>19372.0</v>
      </c>
      <c r="D2584" s="8" t="str">
        <f>+34.940766°</f>
        <v>#ERROR!</v>
      </c>
      <c r="E2584" s="7" t="s">
        <v>4224</v>
      </c>
    </row>
    <row r="2585">
      <c r="A2585" s="3" t="s">
        <v>4122</v>
      </c>
      <c r="B2585" s="4" t="s">
        <v>552</v>
      </c>
      <c r="C2585" s="5">
        <v>5231.0</v>
      </c>
      <c r="D2585" s="8" t="str">
        <f>+33.385933°</f>
        <v>#ERROR!</v>
      </c>
      <c r="E2585" s="7" t="s">
        <v>4225</v>
      </c>
    </row>
    <row r="2586">
      <c r="A2586" s="3" t="s">
        <v>4122</v>
      </c>
      <c r="B2586" s="4" t="s">
        <v>4226</v>
      </c>
      <c r="C2586" s="5">
        <v>662614.0</v>
      </c>
      <c r="D2586" s="8" t="str">
        <f>+33.205005°</f>
        <v>#ERROR!</v>
      </c>
      <c r="E2586" s="7" t="s">
        <v>4227</v>
      </c>
    </row>
    <row r="2587">
      <c r="A2587" s="3" t="s">
        <v>4122</v>
      </c>
      <c r="B2587" s="4" t="s">
        <v>4228</v>
      </c>
      <c r="C2587" s="5">
        <v>20097.0</v>
      </c>
      <c r="D2587" s="8" t="str">
        <f>+29.082342°</f>
        <v>#ERROR!</v>
      </c>
      <c r="E2587" s="7" t="s">
        <v>4229</v>
      </c>
    </row>
    <row r="2588">
      <c r="A2588" s="3" t="s">
        <v>4122</v>
      </c>
      <c r="B2588" s="4" t="s">
        <v>4230</v>
      </c>
      <c r="C2588" s="5">
        <v>2444.0</v>
      </c>
      <c r="D2588" s="8" t="str">
        <f>+33.614666°</f>
        <v>#ERROR!</v>
      </c>
      <c r="E2588" s="7" t="s">
        <v>4231</v>
      </c>
    </row>
    <row r="2589">
      <c r="A2589" s="3" t="s">
        <v>4122</v>
      </c>
      <c r="B2589" s="4" t="s">
        <v>4232</v>
      </c>
      <c r="C2589" s="5">
        <v>9996.0</v>
      </c>
      <c r="D2589" s="8" t="str">
        <f>+28.423587°</f>
        <v>#ERROR!</v>
      </c>
      <c r="E2589" s="7" t="s">
        <v>4233</v>
      </c>
    </row>
    <row r="2590">
      <c r="A2590" s="3" t="s">
        <v>4122</v>
      </c>
      <c r="B2590" s="4" t="s">
        <v>4234</v>
      </c>
      <c r="C2590" s="5">
        <v>3677.0</v>
      </c>
      <c r="D2590" s="8" t="str">
        <f>+34.955036°</f>
        <v>#ERROR!</v>
      </c>
      <c r="E2590" s="7" t="s">
        <v>4235</v>
      </c>
    </row>
    <row r="2591">
      <c r="A2591" s="3" t="s">
        <v>4122</v>
      </c>
      <c r="B2591" s="4" t="s">
        <v>694</v>
      </c>
      <c r="C2591" s="5">
        <v>11782.0</v>
      </c>
      <c r="D2591" s="8" t="str">
        <f>+27.681123°</f>
        <v>#ERROR!</v>
      </c>
      <c r="E2591" s="7" t="s">
        <v>4236</v>
      </c>
    </row>
    <row r="2592">
      <c r="A2592" s="3" t="s">
        <v>4122</v>
      </c>
      <c r="B2592" s="4" t="s">
        <v>4237</v>
      </c>
      <c r="C2592" s="5">
        <v>18583.0</v>
      </c>
      <c r="D2592" s="8" t="str">
        <f>+32.324645°</f>
        <v>#ERROR!</v>
      </c>
      <c r="E2592" s="7" t="s">
        <v>4238</v>
      </c>
    </row>
    <row r="2593">
      <c r="A2593" s="3" t="s">
        <v>4122</v>
      </c>
      <c r="B2593" s="4" t="s">
        <v>4239</v>
      </c>
      <c r="C2593" s="5">
        <v>137130.0</v>
      </c>
      <c r="D2593" s="8" t="str">
        <f>+31.865301°</f>
        <v>#ERROR!</v>
      </c>
      <c r="E2593" s="7" t="s">
        <v>4240</v>
      </c>
    </row>
    <row r="2594">
      <c r="A2594" s="3" t="s">
        <v>4122</v>
      </c>
      <c r="B2594" s="4" t="s">
        <v>1180</v>
      </c>
      <c r="C2594" s="5">
        <v>2002.0</v>
      </c>
      <c r="D2594" s="8" t="str">
        <f>+29.985877°</f>
        <v>#ERROR!</v>
      </c>
      <c r="E2594" s="7" t="s">
        <v>4241</v>
      </c>
    </row>
    <row r="2595">
      <c r="A2595" s="3" t="s">
        <v>4122</v>
      </c>
      <c r="B2595" s="4" t="s">
        <v>1618</v>
      </c>
      <c r="C2595" s="5">
        <v>149610.0</v>
      </c>
      <c r="D2595" s="8" t="str">
        <f>+32.347279°</f>
        <v>#ERROR!</v>
      </c>
      <c r="E2595" s="7" t="s">
        <v>4242</v>
      </c>
    </row>
    <row r="2596">
      <c r="A2596" s="3" t="s">
        <v>4122</v>
      </c>
      <c r="B2596" s="4" t="s">
        <v>564</v>
      </c>
      <c r="C2596" s="5">
        <v>800647.0</v>
      </c>
      <c r="D2596" s="8" t="str">
        <f>+31.766403°</f>
        <v>#ERROR!</v>
      </c>
      <c r="E2596" s="7" t="s">
        <v>4243</v>
      </c>
    </row>
    <row r="2597">
      <c r="A2597" s="3" t="s">
        <v>4122</v>
      </c>
      <c r="B2597" s="4" t="s">
        <v>4244</v>
      </c>
      <c r="C2597" s="5">
        <v>37890.0</v>
      </c>
      <c r="D2597" s="8" t="str">
        <f>+32.238136°</f>
        <v>#ERROR!</v>
      </c>
      <c r="E2597" s="7" t="s">
        <v>4245</v>
      </c>
    </row>
    <row r="2598">
      <c r="A2598" s="3" t="s">
        <v>4122</v>
      </c>
      <c r="B2598" s="4" t="s">
        <v>4246</v>
      </c>
      <c r="C2598" s="5">
        <v>17866.0</v>
      </c>
      <c r="D2598" s="8" t="str">
        <f>+31.251930°</f>
        <v>#ERROR!</v>
      </c>
      <c r="E2598" s="7" t="s">
        <v>4247</v>
      </c>
    </row>
    <row r="2599">
      <c r="A2599" s="3" t="s">
        <v>4122</v>
      </c>
      <c r="B2599" s="4" t="s">
        <v>881</v>
      </c>
      <c r="C2599" s="5">
        <v>33915.0</v>
      </c>
      <c r="D2599" s="8" t="str">
        <f>+33.591161°</f>
        <v>#ERROR!</v>
      </c>
      <c r="E2599" s="7" t="s">
        <v>4248</v>
      </c>
    </row>
    <row r="2600">
      <c r="A2600" s="3" t="s">
        <v>4122</v>
      </c>
      <c r="B2600" s="4" t="s">
        <v>87</v>
      </c>
      <c r="C2600" s="5">
        <v>24554.0</v>
      </c>
      <c r="D2600" s="8" t="str">
        <f>+29.877886°</f>
        <v>#ERROR!</v>
      </c>
      <c r="E2600" s="7" t="s">
        <v>4249</v>
      </c>
    </row>
    <row r="2601">
      <c r="A2601" s="3" t="s">
        <v>4122</v>
      </c>
      <c r="B2601" s="4" t="s">
        <v>4250</v>
      </c>
      <c r="C2601" s="5">
        <v>3974.0</v>
      </c>
      <c r="D2601" s="8" t="str">
        <f>+32.740473°</f>
        <v>#ERROR!</v>
      </c>
      <c r="E2601" s="7" t="s">
        <v>4251</v>
      </c>
    </row>
    <row r="2602">
      <c r="A2602" s="3" t="s">
        <v>4122</v>
      </c>
      <c r="B2602" s="4" t="s">
        <v>884</v>
      </c>
      <c r="C2602" s="5">
        <v>6446.0</v>
      </c>
      <c r="D2602" s="8" t="str">
        <f>+34.073731°</f>
        <v>#ERROR!</v>
      </c>
      <c r="E2602" s="7" t="s">
        <v>4252</v>
      </c>
    </row>
    <row r="2603">
      <c r="A2603" s="3" t="s">
        <v>4122</v>
      </c>
      <c r="B2603" s="4" t="s">
        <v>4253</v>
      </c>
      <c r="C2603" s="5">
        <v>1336.0</v>
      </c>
      <c r="D2603" s="8" t="str">
        <f>+33.980404°</f>
        <v>#ERROR!</v>
      </c>
      <c r="E2603" s="7" t="s">
        <v>4254</v>
      </c>
    </row>
    <row r="2604">
      <c r="A2604" s="3" t="s">
        <v>4122</v>
      </c>
      <c r="B2604" s="4" t="s">
        <v>4255</v>
      </c>
      <c r="C2604" s="5">
        <v>585375.0</v>
      </c>
      <c r="D2604" s="8" t="str">
        <f>+29.526602°</f>
        <v>#ERROR!</v>
      </c>
      <c r="E2604" s="7" t="s">
        <v>4256</v>
      </c>
    </row>
    <row r="2605">
      <c r="A2605" s="3" t="s">
        <v>4122</v>
      </c>
      <c r="B2605" s="4" t="s">
        <v>90</v>
      </c>
      <c r="C2605" s="5">
        <v>10605.0</v>
      </c>
      <c r="D2605" s="8" t="str">
        <f>+33.175846°</f>
        <v>#ERROR!</v>
      </c>
      <c r="E2605" s="7" t="s">
        <v>4257</v>
      </c>
    </row>
    <row r="2606">
      <c r="A2606" s="3" t="s">
        <v>4122</v>
      </c>
      <c r="B2606" s="4" t="s">
        <v>4258</v>
      </c>
      <c r="C2606" s="5">
        <v>19816.0</v>
      </c>
      <c r="D2606" s="8" t="str">
        <f>+31.701654°</f>
        <v>#ERROR!</v>
      </c>
      <c r="E2606" s="7" t="s">
        <v>4259</v>
      </c>
    </row>
    <row r="2607">
      <c r="A2607" s="3" t="s">
        <v>4122</v>
      </c>
      <c r="B2607" s="4" t="s">
        <v>4260</v>
      </c>
      <c r="C2607" s="5">
        <v>17217.0</v>
      </c>
      <c r="D2607" s="8" t="str">
        <f>+28.869334°</f>
        <v>#ERROR!</v>
      </c>
      <c r="E2607" s="7" t="s">
        <v>4261</v>
      </c>
    </row>
    <row r="2608">
      <c r="A2608" s="3" t="s">
        <v>4122</v>
      </c>
      <c r="B2608" s="4" t="s">
        <v>4262</v>
      </c>
      <c r="C2608" s="5">
        <v>17526.0</v>
      </c>
      <c r="D2608" s="8" t="str">
        <f>+32.743942°</f>
        <v>#ERROR!</v>
      </c>
      <c r="E2608" s="7" t="s">
        <v>4263</v>
      </c>
    </row>
    <row r="2609">
      <c r="A2609" s="3" t="s">
        <v>4122</v>
      </c>
      <c r="B2609" s="4" t="s">
        <v>4264</v>
      </c>
      <c r="C2609" s="5">
        <v>291309.0</v>
      </c>
      <c r="D2609" s="8" t="str">
        <f>+29.228706°</f>
        <v>#ERROR!</v>
      </c>
      <c r="E2609" s="7" t="s">
        <v>4265</v>
      </c>
    </row>
    <row r="2610">
      <c r="A2610" s="3" t="s">
        <v>4122</v>
      </c>
      <c r="B2610" s="4" t="s">
        <v>4266</v>
      </c>
      <c r="C2610" s="5">
        <v>6461.0</v>
      </c>
      <c r="D2610" s="8" t="str">
        <f>+33.183792°</f>
        <v>#ERROR!</v>
      </c>
      <c r="E2610" s="7" t="s">
        <v>4267</v>
      </c>
    </row>
    <row r="2611">
      <c r="A2611" s="3" t="s">
        <v>4122</v>
      </c>
      <c r="B2611" s="4" t="s">
        <v>4268</v>
      </c>
      <c r="C2611" s="5">
        <v>24837.0</v>
      </c>
      <c r="D2611" s="8" t="str">
        <f>+30.326390°</f>
        <v>#ERROR!</v>
      </c>
      <c r="E2611" s="7" t="s">
        <v>4269</v>
      </c>
    </row>
    <row r="2612">
      <c r="A2612" s="3" t="s">
        <v>4122</v>
      </c>
      <c r="B2612" s="4" t="s">
        <v>4270</v>
      </c>
      <c r="C2612" s="5">
        <v>1226.0</v>
      </c>
      <c r="D2612" s="8" t="str">
        <f>+31.868591°</f>
        <v>#ERROR!</v>
      </c>
      <c r="E2612" s="7" t="s">
        <v>4271</v>
      </c>
    </row>
    <row r="2613">
      <c r="A2613" s="3" t="s">
        <v>4122</v>
      </c>
      <c r="B2613" s="4" t="s">
        <v>4272</v>
      </c>
      <c r="C2613" s="5">
        <v>7210.0</v>
      </c>
      <c r="D2613" s="8" t="str">
        <f>+28.660700°</f>
        <v>#ERROR!</v>
      </c>
      <c r="E2613" s="7" t="s">
        <v>4273</v>
      </c>
    </row>
    <row r="2614">
      <c r="A2614" s="3" t="s">
        <v>4122</v>
      </c>
      <c r="B2614" s="4" t="s">
        <v>4274</v>
      </c>
      <c r="C2614" s="5">
        <v>19807.0</v>
      </c>
      <c r="D2614" s="8" t="str">
        <f>+29.468704°</f>
        <v>#ERROR!</v>
      </c>
      <c r="E2614" s="7" t="s">
        <v>4275</v>
      </c>
    </row>
    <row r="2615">
      <c r="A2615" s="3" t="s">
        <v>4122</v>
      </c>
      <c r="B2615" s="4" t="s">
        <v>1632</v>
      </c>
      <c r="C2615" s="5">
        <v>22535.0</v>
      </c>
      <c r="D2615" s="8" t="str">
        <f>+35.402542°</f>
        <v>#ERROR!</v>
      </c>
      <c r="E2615" s="7" t="s">
        <v>4276</v>
      </c>
    </row>
    <row r="2616">
      <c r="A2616" s="3" t="s">
        <v>4122</v>
      </c>
      <c r="B2616" s="4" t="s">
        <v>1817</v>
      </c>
      <c r="C2616" s="5">
        <v>120877.0</v>
      </c>
      <c r="D2616" s="8" t="str">
        <f>+33.624508°</f>
        <v>#ERROR!</v>
      </c>
      <c r="E2616" s="7" t="s">
        <v>4277</v>
      </c>
    </row>
    <row r="2617">
      <c r="A2617" s="3" t="s">
        <v>4122</v>
      </c>
      <c r="B2617" s="4" t="s">
        <v>4278</v>
      </c>
      <c r="C2617" s="5">
        <v>121730.0</v>
      </c>
      <c r="D2617" s="8" t="str">
        <f>+32.486397°</f>
        <v>#ERROR!</v>
      </c>
      <c r="E2617" s="7" t="s">
        <v>4279</v>
      </c>
    </row>
    <row r="2618">
      <c r="A2618" s="3" t="s">
        <v>4122</v>
      </c>
      <c r="B2618" s="4" t="s">
        <v>4280</v>
      </c>
      <c r="C2618" s="5">
        <v>26604.0</v>
      </c>
      <c r="D2618" s="8" t="str">
        <f>+30.543231°</f>
        <v>#ERROR!</v>
      </c>
      <c r="E2618" s="7" t="s">
        <v>4281</v>
      </c>
    </row>
    <row r="2619">
      <c r="A2619" s="3" t="s">
        <v>4122</v>
      </c>
      <c r="B2619" s="4" t="s">
        <v>3028</v>
      </c>
      <c r="C2619" s="5">
        <v>131533.0</v>
      </c>
      <c r="D2619" s="8" t="str">
        <f>+29.583208°</f>
        <v>#ERROR!</v>
      </c>
      <c r="E2619" s="7" t="s">
        <v>4282</v>
      </c>
    </row>
    <row r="2620">
      <c r="A2620" s="3" t="s">
        <v>4122</v>
      </c>
      <c r="B2620" s="4" t="s">
        <v>99</v>
      </c>
      <c r="C2620" s="5">
        <v>36273.0</v>
      </c>
      <c r="D2620" s="8" t="str">
        <f>+34.068436°</f>
        <v>#ERROR!</v>
      </c>
      <c r="E2620" s="7" t="s">
        <v>4283</v>
      </c>
    </row>
    <row r="2621">
      <c r="A2621" s="3" t="s">
        <v>4122</v>
      </c>
      <c r="B2621" s="4" t="s">
        <v>905</v>
      </c>
      <c r="C2621" s="5">
        <v>3353.0</v>
      </c>
      <c r="D2621" s="8" t="str">
        <f>+34.453189°</f>
        <v>#ERROR!</v>
      </c>
      <c r="E2621" s="7" t="s">
        <v>4284</v>
      </c>
    </row>
    <row r="2622">
      <c r="A2622" s="3" t="s">
        <v>4122</v>
      </c>
      <c r="B2622" s="4" t="s">
        <v>708</v>
      </c>
      <c r="C2622" s="5">
        <v>8517.0</v>
      </c>
      <c r="D2622" s="8" t="str">
        <f>+31.706982°</f>
        <v>#ERROR!</v>
      </c>
      <c r="E2622" s="7" t="s">
        <v>4285</v>
      </c>
    </row>
    <row r="2623">
      <c r="A2623" s="3" t="s">
        <v>4122</v>
      </c>
      <c r="B2623" s="4" t="s">
        <v>4286</v>
      </c>
      <c r="C2623" s="5">
        <v>5613.0</v>
      </c>
      <c r="D2623" s="8" t="str">
        <f>+36.272847°</f>
        <v>#ERROR!</v>
      </c>
      <c r="E2623" s="7" t="s">
        <v>4287</v>
      </c>
    </row>
    <row r="2624">
      <c r="A2624" s="3" t="s">
        <v>4122</v>
      </c>
      <c r="B2624" s="4" t="s">
        <v>4046</v>
      </c>
      <c r="C2624" s="5">
        <v>4139.0</v>
      </c>
      <c r="D2624" s="8" t="str">
        <f>+34.289904°</f>
        <v>#ERROR!</v>
      </c>
      <c r="E2624" s="7" t="s">
        <v>4288</v>
      </c>
    </row>
    <row r="2625">
      <c r="A2625" s="3" t="s">
        <v>4122</v>
      </c>
      <c r="B2625" s="4" t="s">
        <v>1195</v>
      </c>
      <c r="C2625" s="5">
        <v>54635.0</v>
      </c>
      <c r="D2625" s="8" t="str">
        <f>+30.329612°</f>
        <v>#ERROR!</v>
      </c>
      <c r="E2625" s="7" t="s">
        <v>4289</v>
      </c>
    </row>
    <row r="2626">
      <c r="A2626" s="3" t="s">
        <v>4122</v>
      </c>
      <c r="B2626" s="4" t="s">
        <v>911</v>
      </c>
      <c r="C2626" s="5">
        <v>4092459.0</v>
      </c>
      <c r="D2626" s="8" t="str">
        <f>+29.857273°</f>
        <v>#ERROR!</v>
      </c>
      <c r="E2626" s="7" t="s">
        <v>4290</v>
      </c>
    </row>
    <row r="2627">
      <c r="A2627" s="3" t="s">
        <v>4122</v>
      </c>
      <c r="B2627" s="4" t="s">
        <v>1341</v>
      </c>
      <c r="C2627" s="5">
        <v>65631.0</v>
      </c>
      <c r="D2627" s="8" t="str">
        <f>+32.547993°</f>
        <v>#ERROR!</v>
      </c>
      <c r="E2627" s="7" t="s">
        <v>4291</v>
      </c>
    </row>
    <row r="2628">
      <c r="A2628" s="3" t="s">
        <v>4122</v>
      </c>
      <c r="B2628" s="4" t="s">
        <v>4292</v>
      </c>
      <c r="C2628" s="5">
        <v>6062.0</v>
      </c>
      <c r="D2628" s="8" t="str">
        <f>+35.840244°</f>
        <v>#ERROR!</v>
      </c>
      <c r="E2628" s="7" t="s">
        <v>4293</v>
      </c>
    </row>
    <row r="2629">
      <c r="A2629" s="3" t="s">
        <v>4122</v>
      </c>
      <c r="B2629" s="4" t="s">
        <v>1643</v>
      </c>
      <c r="C2629" s="5">
        <v>5899.0</v>
      </c>
      <c r="D2629" s="8" t="str">
        <f>+33.175965°</f>
        <v>#ERROR!</v>
      </c>
      <c r="E2629" s="7" t="s">
        <v>4294</v>
      </c>
    </row>
    <row r="2630">
      <c r="A2630" s="3" t="s">
        <v>4122</v>
      </c>
      <c r="B2630" s="4" t="s">
        <v>4295</v>
      </c>
      <c r="C2630" s="5">
        <v>157107.0</v>
      </c>
      <c r="D2630" s="8" t="str">
        <f>+30.061225°</f>
        <v>#ERROR!</v>
      </c>
      <c r="E2630" s="7" t="s">
        <v>4296</v>
      </c>
    </row>
    <row r="2631">
      <c r="A2631" s="3" t="s">
        <v>4122</v>
      </c>
      <c r="B2631" s="4" t="s">
        <v>4297</v>
      </c>
      <c r="C2631" s="5">
        <v>3807.0</v>
      </c>
      <c r="D2631" s="8" t="str">
        <f>+35.816237°</f>
        <v>#ERROR!</v>
      </c>
      <c r="E2631" s="7" t="s">
        <v>4298</v>
      </c>
    </row>
    <row r="2632">
      <c r="A2632" s="3" t="s">
        <v>4122</v>
      </c>
      <c r="B2632" s="4" t="s">
        <v>1197</v>
      </c>
      <c r="C2632" s="5">
        <v>78532.0</v>
      </c>
      <c r="D2632" s="8" t="str">
        <f>+32.211633°</f>
        <v>#ERROR!</v>
      </c>
      <c r="E2632" s="7" t="s">
        <v>4299</v>
      </c>
    </row>
    <row r="2633">
      <c r="A2633" s="3" t="s">
        <v>4122</v>
      </c>
      <c r="B2633" s="4" t="s">
        <v>3032</v>
      </c>
      <c r="C2633" s="5">
        <v>774769.0</v>
      </c>
      <c r="D2633" s="8" t="str">
        <f>+26.396384°</f>
        <v>#ERROR!</v>
      </c>
      <c r="E2633" s="7" t="s">
        <v>4300</v>
      </c>
    </row>
    <row r="2634">
      <c r="A2634" s="3" t="s">
        <v>4122</v>
      </c>
      <c r="B2634" s="4" t="s">
        <v>2737</v>
      </c>
      <c r="C2634" s="5">
        <v>35089.0</v>
      </c>
      <c r="D2634" s="8" t="str">
        <f>+31.982240°</f>
        <v>#ERROR!</v>
      </c>
      <c r="E2634" s="7" t="s">
        <v>4301</v>
      </c>
    </row>
    <row r="2635">
      <c r="A2635" s="3" t="s">
        <v>4122</v>
      </c>
      <c r="B2635" s="4" t="s">
        <v>4302</v>
      </c>
      <c r="C2635" s="5">
        <v>22935.0</v>
      </c>
      <c r="D2635" s="8" t="str">
        <f>+33.605932°</f>
        <v>#ERROR!</v>
      </c>
      <c r="E2635" s="7" t="s">
        <v>4303</v>
      </c>
    </row>
    <row r="2636">
      <c r="A2636" s="3" t="s">
        <v>4122</v>
      </c>
      <c r="B2636" s="4" t="s">
        <v>4304</v>
      </c>
      <c r="C2636" s="5">
        <v>51182.0</v>
      </c>
      <c r="D2636" s="8" t="str">
        <f>+32.430149°</f>
        <v>#ERROR!</v>
      </c>
      <c r="E2636" s="7" t="s">
        <v>4305</v>
      </c>
    </row>
    <row r="2637">
      <c r="A2637" s="3" t="s">
        <v>4122</v>
      </c>
      <c r="B2637" s="4" t="s">
        <v>1833</v>
      </c>
      <c r="C2637" s="5">
        <v>35161.0</v>
      </c>
      <c r="D2637" s="8" t="str">
        <f>+33.148959°</f>
        <v>#ERROR!</v>
      </c>
      <c r="E2637" s="7" t="s">
        <v>4306</v>
      </c>
    </row>
    <row r="2638">
      <c r="A2638" s="3" t="s">
        <v>4122</v>
      </c>
      <c r="B2638" s="4" t="s">
        <v>105</v>
      </c>
      <c r="C2638" s="5">
        <v>23732.0</v>
      </c>
      <c r="D2638" s="8" t="str">
        <f>+31.323036°</f>
        <v>#ERROR!</v>
      </c>
      <c r="E2638" s="7" t="s">
        <v>4307</v>
      </c>
    </row>
    <row r="2639">
      <c r="A2639" s="3" t="s">
        <v>4122</v>
      </c>
      <c r="B2639" s="4" t="s">
        <v>328</v>
      </c>
      <c r="C2639" s="5">
        <v>35012.0</v>
      </c>
      <c r="D2639" s="8" t="str">
        <f>+32.303583°</f>
        <v>#ERROR!</v>
      </c>
      <c r="E2639" s="7" t="s">
        <v>4308</v>
      </c>
    </row>
    <row r="2640">
      <c r="A2640" s="3" t="s">
        <v>4122</v>
      </c>
      <c r="B2640" s="4" t="s">
        <v>4309</v>
      </c>
      <c r="C2640" s="5">
        <v>3476.0</v>
      </c>
      <c r="D2640" s="8" t="str">
        <f>+31.450868°</f>
        <v>#ERROR!</v>
      </c>
      <c r="E2640" s="7" t="s">
        <v>4310</v>
      </c>
    </row>
    <row r="2641">
      <c r="A2641" s="3" t="s">
        <v>4122</v>
      </c>
      <c r="B2641" s="4" t="s">
        <v>4311</v>
      </c>
      <c r="C2641" s="5">
        <v>86129.0</v>
      </c>
      <c r="D2641" s="8" t="str">
        <f>+33.123438°</f>
        <v>#ERROR!</v>
      </c>
      <c r="E2641" s="7" t="s">
        <v>4312</v>
      </c>
    </row>
    <row r="2642">
      <c r="A2642" s="3" t="s">
        <v>4122</v>
      </c>
      <c r="B2642" s="4" t="s">
        <v>3946</v>
      </c>
      <c r="C2642" s="5">
        <v>22150.0</v>
      </c>
      <c r="D2642" s="8" t="str">
        <f>+35.837047°</f>
        <v>#ERROR!</v>
      </c>
      <c r="E2642" s="7" t="s">
        <v>4313</v>
      </c>
    </row>
    <row r="2643">
      <c r="A2643" s="3" t="s">
        <v>4122</v>
      </c>
      <c r="B2643" s="4" t="s">
        <v>4314</v>
      </c>
      <c r="C2643" s="5">
        <v>1599.0</v>
      </c>
      <c r="D2643" s="8" t="str">
        <f>+31.303424°</f>
        <v>#ERROR!</v>
      </c>
      <c r="E2643" s="7" t="s">
        <v>4315</v>
      </c>
    </row>
    <row r="2644">
      <c r="A2644" s="3" t="s">
        <v>4122</v>
      </c>
      <c r="B2644" s="4" t="s">
        <v>4316</v>
      </c>
      <c r="C2644" s="5">
        <v>9044.0</v>
      </c>
      <c r="D2644" s="8" t="str">
        <f>+33.232277°</f>
        <v>#ERROR!</v>
      </c>
      <c r="E2644" s="7" t="s">
        <v>4317</v>
      </c>
    </row>
    <row r="2645">
      <c r="A2645" s="3" t="s">
        <v>4122</v>
      </c>
      <c r="B2645" s="4" t="s">
        <v>108</v>
      </c>
      <c r="C2645" s="5">
        <v>14075.0</v>
      </c>
      <c r="D2645" s="8" t="str">
        <f>+28.959802°</f>
        <v>#ERROR!</v>
      </c>
      <c r="E2645" s="7" t="s">
        <v>4318</v>
      </c>
    </row>
    <row r="2646">
      <c r="A2646" s="3" t="s">
        <v>4122</v>
      </c>
      <c r="B2646" s="4" t="s">
        <v>922</v>
      </c>
      <c r="C2646" s="5">
        <v>35710.0</v>
      </c>
      <c r="D2646" s="8" t="str">
        <f>+30.752932°</f>
        <v>#ERROR!</v>
      </c>
      <c r="E2646" s="7" t="s">
        <v>4319</v>
      </c>
    </row>
    <row r="2647">
      <c r="A2647" s="3" t="s">
        <v>4122</v>
      </c>
      <c r="B2647" s="4" t="s">
        <v>924</v>
      </c>
      <c r="C2647" s="5">
        <v>2342.0</v>
      </c>
      <c r="D2647" s="8" t="str">
        <f>+30.617087°</f>
        <v>#ERROR!</v>
      </c>
      <c r="E2647" s="7" t="s">
        <v>4320</v>
      </c>
    </row>
    <row r="2648">
      <c r="A2648" s="3" t="s">
        <v>4122</v>
      </c>
      <c r="B2648" s="4" t="s">
        <v>111</v>
      </c>
      <c r="C2648" s="5">
        <v>252273.0</v>
      </c>
      <c r="D2648" s="8" t="str">
        <f>+29.854000°</f>
        <v>#ERROR!</v>
      </c>
      <c r="E2648" s="7" t="s">
        <v>4321</v>
      </c>
    </row>
    <row r="2649">
      <c r="A2649" s="3" t="s">
        <v>4122</v>
      </c>
      <c r="B2649" s="4" t="s">
        <v>4322</v>
      </c>
      <c r="C2649" s="5">
        <v>5300.0</v>
      </c>
      <c r="D2649" s="8" t="str">
        <f>+27.041212°</f>
        <v>#ERROR!</v>
      </c>
      <c r="E2649" s="7" t="s">
        <v>4323</v>
      </c>
    </row>
    <row r="2650">
      <c r="A2650" s="3" t="s">
        <v>4122</v>
      </c>
      <c r="B2650" s="4" t="s">
        <v>4324</v>
      </c>
      <c r="C2650" s="5">
        <v>40838.0</v>
      </c>
      <c r="D2650" s="8" t="str">
        <f>+27.733516°</f>
        <v>#ERROR!</v>
      </c>
      <c r="E2650" s="7" t="s">
        <v>4325</v>
      </c>
    </row>
    <row r="2651">
      <c r="A2651" s="3" t="s">
        <v>4122</v>
      </c>
      <c r="B2651" s="4" t="s">
        <v>336</v>
      </c>
      <c r="C2651" s="5">
        <v>150934.0</v>
      </c>
      <c r="D2651" s="8" t="str">
        <f>+32.379511°</f>
        <v>#ERROR!</v>
      </c>
      <c r="E2651" s="7" t="s">
        <v>4326</v>
      </c>
    </row>
    <row r="2652">
      <c r="A2652" s="3" t="s">
        <v>4122</v>
      </c>
      <c r="B2652" s="4" t="s">
        <v>930</v>
      </c>
      <c r="C2652" s="5">
        <v>20202.0</v>
      </c>
      <c r="D2652" s="8" t="str">
        <f>+32.743709°</f>
        <v>#ERROR!</v>
      </c>
      <c r="E2652" s="7" t="s">
        <v>4327</v>
      </c>
    </row>
    <row r="2653">
      <c r="A2653" s="3" t="s">
        <v>4122</v>
      </c>
      <c r="B2653" s="4" t="s">
        <v>4328</v>
      </c>
      <c r="C2653" s="5">
        <v>14824.0</v>
      </c>
      <c r="D2653" s="8" t="str">
        <f>+28.907618°</f>
        <v>#ERROR!</v>
      </c>
      <c r="E2653" s="7" t="s">
        <v>4329</v>
      </c>
    </row>
    <row r="2654">
      <c r="A2654" s="3" t="s">
        <v>4122</v>
      </c>
      <c r="B2654" s="4" t="s">
        <v>4330</v>
      </c>
      <c r="C2654" s="5">
        <v>103350.0</v>
      </c>
      <c r="D2654" s="8" t="str">
        <f>+32.598944°</f>
        <v>#ERROR!</v>
      </c>
      <c r="E2654" s="7" t="s">
        <v>4331</v>
      </c>
    </row>
    <row r="2655">
      <c r="A2655" s="3" t="s">
        <v>4122</v>
      </c>
      <c r="B2655" s="4" t="s">
        <v>1214</v>
      </c>
      <c r="C2655" s="5">
        <v>33410.0</v>
      </c>
      <c r="D2655" s="8" t="str">
        <f>+29.944524°</f>
        <v>#ERROR!</v>
      </c>
      <c r="E2655" s="7" t="s">
        <v>4332</v>
      </c>
    </row>
    <row r="2656">
      <c r="A2656" s="3" t="s">
        <v>4122</v>
      </c>
      <c r="B2656" s="4" t="s">
        <v>4333</v>
      </c>
      <c r="C2656" s="7">
        <v>416.0</v>
      </c>
      <c r="D2656" s="8" t="str">
        <f>+26.890232°</f>
        <v>#ERROR!</v>
      </c>
      <c r="E2656" s="7" t="s">
        <v>4334</v>
      </c>
    </row>
    <row r="2657">
      <c r="A2657" s="3" t="s">
        <v>4122</v>
      </c>
      <c r="B2657" s="4" t="s">
        <v>659</v>
      </c>
      <c r="C2657" s="7">
        <v>808.0</v>
      </c>
      <c r="D2657" s="8" t="str">
        <f>+33.184780°</f>
        <v>#ERROR!</v>
      </c>
      <c r="E2657" s="7" t="s">
        <v>4335</v>
      </c>
    </row>
    <row r="2658">
      <c r="A2658" s="3" t="s">
        <v>4122</v>
      </c>
      <c r="B2658" s="4" t="s">
        <v>4336</v>
      </c>
      <c r="C2658" s="5">
        <v>49625.0</v>
      </c>
      <c r="D2658" s="8" t="str">
        <f>+30.053928°</f>
        <v>#ERROR!</v>
      </c>
      <c r="E2658" s="7" t="s">
        <v>4337</v>
      </c>
    </row>
    <row r="2659">
      <c r="A2659" s="3" t="s">
        <v>4122</v>
      </c>
      <c r="B2659" s="4" t="s">
        <v>4338</v>
      </c>
      <c r="C2659" s="5">
        <v>4607.0</v>
      </c>
      <c r="D2659" s="8" t="str">
        <f>+30.479472°</f>
        <v>#ERROR!</v>
      </c>
      <c r="E2659" s="7" t="s">
        <v>4339</v>
      </c>
    </row>
    <row r="2660">
      <c r="A2660" s="3" t="s">
        <v>4122</v>
      </c>
      <c r="B2660" s="4" t="s">
        <v>4340</v>
      </c>
      <c r="C2660" s="7">
        <v>286.0</v>
      </c>
      <c r="D2660" s="8" t="str">
        <f>+33.614159°</f>
        <v>#ERROR!</v>
      </c>
      <c r="E2660" s="7" t="s">
        <v>4341</v>
      </c>
    </row>
    <row r="2661">
      <c r="A2661" s="3" t="s">
        <v>4122</v>
      </c>
      <c r="B2661" s="4" t="s">
        <v>4342</v>
      </c>
      <c r="C2661" s="5">
        <v>3598.0</v>
      </c>
      <c r="D2661" s="8" t="str">
        <f>+29.347087°</f>
        <v>#ERROR!</v>
      </c>
      <c r="E2661" s="7" t="s">
        <v>4343</v>
      </c>
    </row>
    <row r="2662">
      <c r="A2662" s="3" t="s">
        <v>4122</v>
      </c>
      <c r="B2662" s="4" t="s">
        <v>4344</v>
      </c>
      <c r="C2662" s="5">
        <v>32061.0</v>
      </c>
      <c r="D2662" s="8" t="str">
        <f>+27.438735°</f>
        <v>#ERROR!</v>
      </c>
      <c r="E2662" s="7" t="s">
        <v>4345</v>
      </c>
    </row>
    <row r="2663">
      <c r="A2663" s="3" t="s">
        <v>4122</v>
      </c>
      <c r="B2663" s="4" t="s">
        <v>1216</v>
      </c>
      <c r="C2663" s="5">
        <v>3719.0</v>
      </c>
      <c r="D2663" s="8" t="str">
        <f>+33.616657°</f>
        <v>#ERROR!</v>
      </c>
      <c r="E2663" s="7" t="s">
        <v>4346</v>
      </c>
    </row>
    <row r="2664">
      <c r="A2664" s="3" t="s">
        <v>4122</v>
      </c>
      <c r="B2664" s="4" t="s">
        <v>114</v>
      </c>
      <c r="C2664" s="5">
        <v>49793.0</v>
      </c>
      <c r="D2664" s="8" t="str">
        <f>+33.667263°</f>
        <v>#ERROR!</v>
      </c>
      <c r="E2664" s="7" t="s">
        <v>4347</v>
      </c>
    </row>
    <row r="2665">
      <c r="A2665" s="3" t="s">
        <v>4122</v>
      </c>
      <c r="B2665" s="4" t="s">
        <v>4348</v>
      </c>
      <c r="C2665" s="5">
        <v>13977.0</v>
      </c>
      <c r="D2665" s="8" t="str">
        <f>+34.068862°</f>
        <v>#ERROR!</v>
      </c>
      <c r="E2665" s="7" t="s">
        <v>4349</v>
      </c>
    </row>
    <row r="2666">
      <c r="A2666" s="3" t="s">
        <v>4122</v>
      </c>
      <c r="B2666" s="4" t="s">
        <v>4350</v>
      </c>
      <c r="C2666" s="5">
        <v>19677.0</v>
      </c>
      <c r="D2666" s="8" t="str">
        <f>+31.196731°</f>
        <v>#ERROR!</v>
      </c>
      <c r="E2666" s="7" t="s">
        <v>4351</v>
      </c>
    </row>
    <row r="2667">
      <c r="A2667" s="3" t="s">
        <v>4122</v>
      </c>
      <c r="B2667" s="4" t="s">
        <v>1219</v>
      </c>
      <c r="C2667" s="5">
        <v>6886.0</v>
      </c>
      <c r="D2667" s="8" t="str">
        <f>+28.351098°</f>
        <v>#ERROR!</v>
      </c>
      <c r="E2667" s="7" t="s">
        <v>4352</v>
      </c>
    </row>
    <row r="2668">
      <c r="A2668" s="3" t="s">
        <v>4122</v>
      </c>
      <c r="B2668" s="4" t="s">
        <v>4353</v>
      </c>
      <c r="C2668" s="5">
        <v>19263.0</v>
      </c>
      <c r="D2668" s="8" t="str">
        <f>+29.382578°</f>
        <v>#ERROR!</v>
      </c>
      <c r="E2668" s="7" t="s">
        <v>4354</v>
      </c>
    </row>
    <row r="2669">
      <c r="A2669" s="3" t="s">
        <v>4122</v>
      </c>
      <c r="B2669" s="4" t="s">
        <v>123</v>
      </c>
      <c r="C2669" s="5">
        <v>16612.0</v>
      </c>
      <c r="D2669" s="8" t="str">
        <f>+30.321105°</f>
        <v>#ERROR!</v>
      </c>
      <c r="E2669" s="7" t="s">
        <v>4355</v>
      </c>
    </row>
    <row r="2670">
      <c r="A2670" s="3" t="s">
        <v>4122</v>
      </c>
      <c r="B2670" s="4" t="s">
        <v>729</v>
      </c>
      <c r="C2670" s="5">
        <v>16801.0</v>
      </c>
      <c r="D2670" s="8" t="str">
        <f>+31.300493°</f>
        <v>#ERROR!</v>
      </c>
      <c r="E2670" s="7" t="s">
        <v>4356</v>
      </c>
    </row>
    <row r="2671">
      <c r="A2671" s="3" t="s">
        <v>4122</v>
      </c>
      <c r="B2671" s="4" t="s">
        <v>733</v>
      </c>
      <c r="C2671" s="5">
        <v>75643.0</v>
      </c>
      <c r="D2671" s="8" t="str">
        <f>+30.162189°</f>
        <v>#ERROR!</v>
      </c>
      <c r="E2671" s="7" t="s">
        <v>4357</v>
      </c>
    </row>
    <row r="2672">
      <c r="A2672" s="3" t="s">
        <v>4122</v>
      </c>
      <c r="B2672" s="4" t="s">
        <v>126</v>
      </c>
      <c r="C2672" s="5">
        <v>23384.0</v>
      </c>
      <c r="D2672" s="8" t="str">
        <f>+31.547543°</f>
        <v>#ERROR!</v>
      </c>
      <c r="E2672" s="7" t="s">
        <v>4358</v>
      </c>
    </row>
    <row r="2673">
      <c r="A2673" s="3" t="s">
        <v>4122</v>
      </c>
      <c r="B2673" s="4" t="s">
        <v>4359</v>
      </c>
      <c r="C2673" s="5">
        <v>3302.0</v>
      </c>
      <c r="D2673" s="8" t="str">
        <f>+36.280200°</f>
        <v>#ERROR!</v>
      </c>
      <c r="E2673" s="7" t="s">
        <v>4360</v>
      </c>
    </row>
    <row r="2674">
      <c r="A2674" s="3" t="s">
        <v>4122</v>
      </c>
      <c r="B2674" s="4" t="s">
        <v>4361</v>
      </c>
      <c r="C2674" s="5">
        <v>11531.0</v>
      </c>
      <c r="D2674" s="8" t="str">
        <f>+28.351535°</f>
        <v>#ERROR!</v>
      </c>
      <c r="E2674" s="7" t="s">
        <v>4362</v>
      </c>
    </row>
    <row r="2675">
      <c r="A2675" s="3" t="s">
        <v>4122</v>
      </c>
      <c r="B2675" s="4" t="s">
        <v>4363</v>
      </c>
      <c r="C2675" s="5">
        <v>19301.0</v>
      </c>
      <c r="D2675" s="8" t="str">
        <f>+30.707585°</f>
        <v>#ERROR!</v>
      </c>
      <c r="E2675" s="7" t="s">
        <v>4364</v>
      </c>
    </row>
    <row r="2676">
      <c r="A2676" s="3" t="s">
        <v>4122</v>
      </c>
      <c r="B2676" s="4" t="s">
        <v>4365</v>
      </c>
      <c r="C2676" s="7">
        <v>82.0</v>
      </c>
      <c r="D2676" s="8" t="str">
        <f>+31.844936°</f>
        <v>#ERROR!</v>
      </c>
      <c r="E2676" s="7" t="s">
        <v>4366</v>
      </c>
    </row>
    <row r="2677">
      <c r="A2677" s="3" t="s">
        <v>4122</v>
      </c>
      <c r="B2677" s="4" t="s">
        <v>4367</v>
      </c>
      <c r="C2677" s="5">
        <v>278831.0</v>
      </c>
      <c r="D2677" s="8" t="str">
        <f>+33.611469°</f>
        <v>#ERROR!</v>
      </c>
      <c r="E2677" s="7" t="s">
        <v>4368</v>
      </c>
    </row>
    <row r="2678">
      <c r="A2678" s="3" t="s">
        <v>4122</v>
      </c>
      <c r="B2678" s="4" t="s">
        <v>4369</v>
      </c>
      <c r="C2678" s="5">
        <v>5915.0</v>
      </c>
      <c r="D2678" s="8" t="str">
        <f>+33.178412°</f>
        <v>#ERROR!</v>
      </c>
      <c r="E2678" s="7" t="s">
        <v>4370</v>
      </c>
    </row>
    <row r="2679">
      <c r="A2679" s="3" t="s">
        <v>4122</v>
      </c>
      <c r="B2679" s="4" t="s">
        <v>4371</v>
      </c>
      <c r="C2679" s="5">
        <v>8283.0</v>
      </c>
      <c r="D2679" s="8" t="str">
        <f>+31.205477°</f>
        <v>#ERROR!</v>
      </c>
      <c r="E2679" s="7" t="s">
        <v>4372</v>
      </c>
    </row>
    <row r="2680">
      <c r="A2680" s="3" t="s">
        <v>4122</v>
      </c>
      <c r="B2680" s="4" t="s">
        <v>4373</v>
      </c>
      <c r="C2680" s="5">
        <v>234906.0</v>
      </c>
      <c r="D2680" s="8" t="str">
        <f>+31.549493°</f>
        <v>#ERROR!</v>
      </c>
      <c r="E2680" s="7" t="s">
        <v>4374</v>
      </c>
    </row>
    <row r="2681">
      <c r="A2681" s="3" t="s">
        <v>4122</v>
      </c>
      <c r="B2681" s="4" t="s">
        <v>4375</v>
      </c>
      <c r="C2681" s="7">
        <v>707.0</v>
      </c>
      <c r="D2681" s="8" t="str">
        <f>+28.384922°</f>
        <v>#ERROR!</v>
      </c>
      <c r="E2681" s="7" t="s">
        <v>4376</v>
      </c>
    </row>
    <row r="2682">
      <c r="A2682" s="3" t="s">
        <v>4122</v>
      </c>
      <c r="B2682" s="4" t="s">
        <v>135</v>
      </c>
      <c r="C2682" s="5">
        <v>13664.0</v>
      </c>
      <c r="D2682" s="8" t="str">
        <f>+30.966878°</f>
        <v>#ERROR!</v>
      </c>
      <c r="E2682" s="7" t="s">
        <v>4377</v>
      </c>
    </row>
    <row r="2683">
      <c r="A2683" s="3" t="s">
        <v>4122</v>
      </c>
      <c r="B2683" s="4" t="s">
        <v>141</v>
      </c>
      <c r="C2683" s="5">
        <v>10546.0</v>
      </c>
      <c r="D2683" s="8" t="str">
        <f>+32.797757°</f>
        <v>#ERROR!</v>
      </c>
      <c r="E2683" s="7" t="s">
        <v>4378</v>
      </c>
    </row>
    <row r="2684">
      <c r="A2684" s="3" t="s">
        <v>4122</v>
      </c>
      <c r="B2684" s="4" t="s">
        <v>739</v>
      </c>
      <c r="C2684" s="5">
        <v>4799.0</v>
      </c>
      <c r="D2684" s="8" t="str">
        <f>+32.309830°</f>
        <v>#ERROR!</v>
      </c>
      <c r="E2684" s="7" t="s">
        <v>4379</v>
      </c>
    </row>
    <row r="2685">
      <c r="A2685" s="3" t="s">
        <v>4122</v>
      </c>
      <c r="B2685" s="4" t="s">
        <v>1238</v>
      </c>
      <c r="C2685" s="5">
        <v>4012.0</v>
      </c>
      <c r="D2685" s="8" t="str">
        <f>+30.703232°</f>
        <v>#ERROR!</v>
      </c>
      <c r="E2685" s="7" t="s">
        <v>4380</v>
      </c>
    </row>
    <row r="2686">
      <c r="A2686" s="3" t="s">
        <v>4122</v>
      </c>
      <c r="B2686" s="4" t="s">
        <v>4381</v>
      </c>
      <c r="C2686" s="5">
        <v>36702.0</v>
      </c>
      <c r="D2686" s="8" t="str">
        <f>+28.783341°</f>
        <v>#ERROR!</v>
      </c>
      <c r="E2686" s="7" t="s">
        <v>4382</v>
      </c>
    </row>
    <row r="2687">
      <c r="A2687" s="3" t="s">
        <v>4122</v>
      </c>
      <c r="B2687" s="4" t="s">
        <v>4383</v>
      </c>
      <c r="C2687" s="5">
        <v>54258.0</v>
      </c>
      <c r="D2687" s="8" t="str">
        <f>+28.745217°</f>
        <v>#ERROR!</v>
      </c>
      <c r="E2687" s="7" t="s">
        <v>4384</v>
      </c>
    </row>
    <row r="2688">
      <c r="A2688" s="3" t="s">
        <v>4122</v>
      </c>
      <c r="B2688" s="4" t="s">
        <v>3484</v>
      </c>
      <c r="C2688" s="5">
        <v>46006.0</v>
      </c>
      <c r="D2688" s="8" t="str">
        <f>+29.353661°</f>
        <v>#ERROR!</v>
      </c>
      <c r="E2688" s="7" t="s">
        <v>4385</v>
      </c>
    </row>
    <row r="2689">
      <c r="A2689" s="3" t="s">
        <v>4122</v>
      </c>
      <c r="B2689" s="4" t="s">
        <v>1242</v>
      </c>
      <c r="C2689" s="5">
        <v>2242.0</v>
      </c>
      <c r="D2689" s="8" t="str">
        <f>+30.883707°</f>
        <v>#ERROR!</v>
      </c>
      <c r="E2689" s="7" t="s">
        <v>4386</v>
      </c>
    </row>
    <row r="2690">
      <c r="A2690" s="3" t="s">
        <v>4122</v>
      </c>
      <c r="B2690" s="4" t="s">
        <v>2232</v>
      </c>
      <c r="C2690" s="5">
        <v>136872.0</v>
      </c>
      <c r="D2690" s="8" t="str">
        <f>+31.870896°</f>
        <v>#ERROR!</v>
      </c>
      <c r="E2690" s="7" t="s">
        <v>4387</v>
      </c>
    </row>
    <row r="2691">
      <c r="A2691" s="3" t="s">
        <v>4122</v>
      </c>
      <c r="B2691" s="4" t="s">
        <v>4388</v>
      </c>
      <c r="C2691" s="5">
        <v>24757.0</v>
      </c>
      <c r="D2691" s="8" t="str">
        <f>+30.791242°</f>
        <v>#ERROR!</v>
      </c>
      <c r="E2691" s="7" t="s">
        <v>4389</v>
      </c>
    </row>
    <row r="2692">
      <c r="A2692" s="3" t="s">
        <v>4122</v>
      </c>
      <c r="B2692" s="4" t="s">
        <v>1525</v>
      </c>
      <c r="C2692" s="5">
        <v>4936.0</v>
      </c>
      <c r="D2692" s="8" t="str">
        <f>+31.494889°</f>
        <v>#ERROR!</v>
      </c>
      <c r="E2692" s="7" t="s">
        <v>4390</v>
      </c>
    </row>
    <row r="2693">
      <c r="A2693" s="3" t="s">
        <v>4122</v>
      </c>
      <c r="B2693" s="4" t="s">
        <v>955</v>
      </c>
      <c r="C2693" s="5">
        <v>9403.0</v>
      </c>
      <c r="D2693" s="8" t="str">
        <f>+32.303781°</f>
        <v>#ERROR!</v>
      </c>
      <c r="E2693" s="7" t="s">
        <v>4391</v>
      </c>
    </row>
    <row r="2694">
      <c r="A2694" s="3" t="s">
        <v>4122</v>
      </c>
      <c r="B2694" s="4" t="s">
        <v>4392</v>
      </c>
      <c r="C2694" s="5">
        <v>19719.0</v>
      </c>
      <c r="D2694" s="8" t="str">
        <f>+33.676289°</f>
        <v>#ERROR!</v>
      </c>
      <c r="E2694" s="7" t="s">
        <v>4393</v>
      </c>
    </row>
    <row r="2695">
      <c r="A2695" s="3" t="s">
        <v>4122</v>
      </c>
      <c r="B2695" s="4" t="s">
        <v>149</v>
      </c>
      <c r="C2695" s="5">
        <v>455746.0</v>
      </c>
      <c r="D2695" s="8" t="str">
        <f>+30.302364°</f>
        <v>#ERROR!</v>
      </c>
      <c r="E2695" s="7" t="s">
        <v>4394</v>
      </c>
    </row>
    <row r="2696">
      <c r="A2696" s="3" t="s">
        <v>4122</v>
      </c>
      <c r="B2696" s="4" t="s">
        <v>3264</v>
      </c>
      <c r="C2696" s="5">
        <v>21904.0</v>
      </c>
      <c r="D2696" s="8" t="str">
        <f>+35.835676°</f>
        <v>#ERROR!</v>
      </c>
      <c r="E2696" s="7" t="s">
        <v>4395</v>
      </c>
    </row>
    <row r="2697">
      <c r="A2697" s="3" t="s">
        <v>4122</v>
      </c>
      <c r="B2697" s="4" t="s">
        <v>1676</v>
      </c>
      <c r="C2697" s="5">
        <v>12934.0</v>
      </c>
      <c r="D2697" s="8" t="str">
        <f>+33.116466°</f>
        <v>#ERROR!</v>
      </c>
      <c r="E2697" s="7" t="s">
        <v>4396</v>
      </c>
    </row>
    <row r="2698">
      <c r="A2698" s="3" t="s">
        <v>4122</v>
      </c>
      <c r="B2698" s="4" t="s">
        <v>4397</v>
      </c>
      <c r="C2698" s="5">
        <v>1210.0</v>
      </c>
      <c r="D2698" s="8" t="str">
        <f>+34.058383°</f>
        <v>#ERROR!</v>
      </c>
      <c r="E2698" s="7" t="s">
        <v>4398</v>
      </c>
    </row>
    <row r="2699">
      <c r="A2699" s="3" t="s">
        <v>4122</v>
      </c>
      <c r="B2699" s="4" t="s">
        <v>4399</v>
      </c>
      <c r="C2699" s="5">
        <v>64524.0</v>
      </c>
      <c r="D2699" s="8" t="str">
        <f>+31.620560°</f>
        <v>#ERROR!</v>
      </c>
      <c r="E2699" s="7" t="s">
        <v>4400</v>
      </c>
    </row>
    <row r="2700">
      <c r="A2700" s="3" t="s">
        <v>4122</v>
      </c>
      <c r="B2700" s="4" t="s">
        <v>4401</v>
      </c>
      <c r="C2700" s="5">
        <v>47735.0</v>
      </c>
      <c r="D2700" s="8" t="str">
        <f>+32.048450°</f>
        <v>#ERROR!</v>
      </c>
      <c r="E2700" s="7" t="s">
        <v>4402</v>
      </c>
    </row>
    <row r="2701">
      <c r="A2701" s="3" t="s">
        <v>4122</v>
      </c>
      <c r="B2701" s="4" t="s">
        <v>360</v>
      </c>
      <c r="C2701" s="5">
        <v>14445.0</v>
      </c>
      <c r="D2701" s="8" t="str">
        <f>+30.786718°</f>
        <v>#ERROR!</v>
      </c>
      <c r="E2701" s="7" t="s">
        <v>4403</v>
      </c>
    </row>
    <row r="2702">
      <c r="A2702" s="3" t="s">
        <v>4122</v>
      </c>
      <c r="B2702" s="4" t="s">
        <v>4404</v>
      </c>
      <c r="C2702" s="5">
        <v>15216.0</v>
      </c>
      <c r="D2702" s="8" t="str">
        <f>+32.312338°</f>
        <v>#ERROR!</v>
      </c>
      <c r="E2702" s="7" t="s">
        <v>4405</v>
      </c>
    </row>
    <row r="2703">
      <c r="A2703" s="3" t="s">
        <v>4122</v>
      </c>
      <c r="B2703" s="4" t="s">
        <v>4406</v>
      </c>
      <c r="C2703" s="5">
        <v>340223.0</v>
      </c>
      <c r="D2703" s="8" t="str">
        <f>+27.739406°</f>
        <v>#ERROR!</v>
      </c>
      <c r="E2703" s="7" t="s">
        <v>4407</v>
      </c>
    </row>
    <row r="2704">
      <c r="A2704" s="3" t="s">
        <v>4122</v>
      </c>
      <c r="B2704" s="4" t="s">
        <v>4408</v>
      </c>
      <c r="C2704" s="5">
        <v>10223.0</v>
      </c>
      <c r="D2704" s="8" t="str">
        <f>+36.278744°</f>
        <v>#ERROR!</v>
      </c>
      <c r="E2704" s="7" t="s">
        <v>4409</v>
      </c>
    </row>
    <row r="2705">
      <c r="A2705" s="3" t="s">
        <v>4122</v>
      </c>
      <c r="B2705" s="4" t="s">
        <v>1888</v>
      </c>
      <c r="C2705" s="5">
        <v>2052.0</v>
      </c>
      <c r="D2705" s="8" t="str">
        <f>+35.401921°</f>
        <v>#ERROR!</v>
      </c>
      <c r="E2705" s="7" t="s">
        <v>4410</v>
      </c>
    </row>
    <row r="2706">
      <c r="A2706" s="3" t="s">
        <v>4122</v>
      </c>
      <c r="B2706" s="4" t="s">
        <v>464</v>
      </c>
      <c r="C2706" s="5">
        <v>81837.0</v>
      </c>
      <c r="D2706" s="8" t="str">
        <f>+30.120918°</f>
        <v>#ERROR!</v>
      </c>
      <c r="E2706" s="7" t="s">
        <v>4411</v>
      </c>
    </row>
    <row r="2707">
      <c r="A2707" s="3" t="s">
        <v>4122</v>
      </c>
      <c r="B2707" s="4" t="s">
        <v>4412</v>
      </c>
      <c r="C2707" s="5">
        <v>28111.0</v>
      </c>
      <c r="D2707" s="8" t="str">
        <f>+32.752210°</f>
        <v>#ERROR!</v>
      </c>
      <c r="E2707" s="7" t="s">
        <v>4413</v>
      </c>
    </row>
    <row r="2708">
      <c r="A2708" s="3" t="s">
        <v>4122</v>
      </c>
      <c r="B2708" s="4" t="s">
        <v>2503</v>
      </c>
      <c r="C2708" s="5">
        <v>23796.0</v>
      </c>
      <c r="D2708" s="8" t="str">
        <f>+32.163978°</f>
        <v>#ERROR!</v>
      </c>
      <c r="E2708" s="7" t="s">
        <v>4414</v>
      </c>
    </row>
    <row r="2709">
      <c r="A2709" s="3" t="s">
        <v>4122</v>
      </c>
      <c r="B2709" s="4" t="s">
        <v>4415</v>
      </c>
      <c r="C2709" s="5">
        <v>116927.0</v>
      </c>
      <c r="D2709" s="8" t="str">
        <f>+32.777096°</f>
        <v>#ERROR!</v>
      </c>
      <c r="E2709" s="7" t="s">
        <v>4416</v>
      </c>
    </row>
    <row r="2710">
      <c r="A2710" s="3" t="s">
        <v>4122</v>
      </c>
      <c r="B2710" s="4" t="s">
        <v>4417</v>
      </c>
      <c r="C2710" s="5">
        <v>10269.0</v>
      </c>
      <c r="D2710" s="8" t="str">
        <f>+34.532163°</f>
        <v>#ERROR!</v>
      </c>
      <c r="E2710" s="7" t="s">
        <v>4418</v>
      </c>
    </row>
    <row r="2711">
      <c r="A2711" s="3" t="s">
        <v>4122</v>
      </c>
      <c r="B2711" s="4" t="s">
        <v>4419</v>
      </c>
      <c r="C2711" s="5">
        <v>15507.0</v>
      </c>
      <c r="D2711" s="8" t="str">
        <f>+30.770894°</f>
        <v>#ERROR!</v>
      </c>
      <c r="E2711" s="7" t="s">
        <v>4420</v>
      </c>
    </row>
    <row r="2712">
      <c r="A2712" s="3" t="s">
        <v>4122</v>
      </c>
      <c r="B2712" s="4" t="s">
        <v>370</v>
      </c>
      <c r="C2712" s="5">
        <v>45413.0</v>
      </c>
      <c r="D2712" s="8" t="str">
        <f>+30.784553°</f>
        <v>#ERROR!</v>
      </c>
      <c r="E2712" s="7" t="s">
        <v>4421</v>
      </c>
    </row>
    <row r="2713">
      <c r="A2713" s="3" t="s">
        <v>4122</v>
      </c>
      <c r="B2713" s="4" t="s">
        <v>3788</v>
      </c>
      <c r="C2713" s="5">
        <v>121073.0</v>
      </c>
      <c r="D2713" s="8" t="str">
        <f>+35.398675°</f>
        <v>#ERROR!</v>
      </c>
      <c r="E2713" s="7" t="s">
        <v>4422</v>
      </c>
    </row>
    <row r="2714">
      <c r="A2714" s="3" t="s">
        <v>4122</v>
      </c>
      <c r="B2714" s="4" t="s">
        <v>4423</v>
      </c>
      <c r="C2714" s="5">
        <v>7818.0</v>
      </c>
      <c r="D2714" s="8" t="str">
        <f>+30.005891°</f>
        <v>#ERROR!</v>
      </c>
      <c r="E2714" s="7" t="s">
        <v>4424</v>
      </c>
    </row>
    <row r="2715">
      <c r="A2715" s="3" t="s">
        <v>4122</v>
      </c>
      <c r="B2715" s="4" t="s">
        <v>4425</v>
      </c>
      <c r="C2715" s="5">
        <v>10914.0</v>
      </c>
      <c r="D2715" s="8" t="str">
        <f>+32.870580°</f>
        <v>#ERROR!</v>
      </c>
      <c r="E2715" s="7" t="s">
        <v>4426</v>
      </c>
    </row>
    <row r="2716">
      <c r="A2716" s="3" t="s">
        <v>4122</v>
      </c>
      <c r="B2716" s="4" t="s">
        <v>4427</v>
      </c>
      <c r="C2716" s="5">
        <v>120725.0</v>
      </c>
      <c r="D2716" s="8" t="str">
        <f>+34.962529°</f>
        <v>#ERROR!</v>
      </c>
      <c r="E2716" s="7" t="s">
        <v>4428</v>
      </c>
    </row>
    <row r="2717">
      <c r="A2717" s="3" t="s">
        <v>4122</v>
      </c>
      <c r="B2717" s="4" t="s">
        <v>4429</v>
      </c>
      <c r="C2717" s="5">
        <v>3367.0</v>
      </c>
      <c r="D2717" s="8" t="str">
        <f>+31.372895°</f>
        <v>#ERROR!</v>
      </c>
      <c r="E2717" s="7" t="s">
        <v>4430</v>
      </c>
    </row>
    <row r="2718">
      <c r="A2718" s="3" t="s">
        <v>4122</v>
      </c>
      <c r="B2718" s="4" t="s">
        <v>4431</v>
      </c>
      <c r="C2718" s="5">
        <v>3309.0</v>
      </c>
      <c r="D2718" s="8" t="str">
        <f>+29.823030°</f>
        <v>#ERROR!</v>
      </c>
      <c r="E2718" s="7" t="s">
        <v>4432</v>
      </c>
    </row>
    <row r="2719">
      <c r="A2719" s="3" t="s">
        <v>4122</v>
      </c>
      <c r="B2719" s="4" t="s">
        <v>1997</v>
      </c>
      <c r="C2719" s="5">
        <v>12860.0</v>
      </c>
      <c r="D2719" s="8" t="str">
        <f>+33.619626°</f>
        <v>#ERROR!</v>
      </c>
      <c r="E2719" s="7" t="s">
        <v>4433</v>
      </c>
    </row>
    <row r="2720">
      <c r="A2720" s="3" t="s">
        <v>4122</v>
      </c>
      <c r="B2720" s="4" t="s">
        <v>4434</v>
      </c>
      <c r="C2720" s="5">
        <v>13783.0</v>
      </c>
      <c r="D2720" s="8" t="str">
        <f>+31.308366°</f>
        <v>#ERROR!</v>
      </c>
      <c r="E2720" s="7" t="s">
        <v>4435</v>
      </c>
    </row>
    <row r="2721">
      <c r="A2721" s="3" t="s">
        <v>4122</v>
      </c>
      <c r="B2721" s="4" t="s">
        <v>4436</v>
      </c>
      <c r="C2721" s="5">
        <v>7383.0</v>
      </c>
      <c r="D2721" s="8" t="str">
        <f>+28.312496°</f>
        <v>#ERROR!</v>
      </c>
      <c r="E2721" s="7" t="s">
        <v>4437</v>
      </c>
    </row>
    <row r="2722">
      <c r="A2722" s="3" t="s">
        <v>4122</v>
      </c>
      <c r="B2722" s="4" t="s">
        <v>3976</v>
      </c>
      <c r="C2722" s="7">
        <v>929.0</v>
      </c>
      <c r="D2722" s="8" t="str">
        <f>+35.836216°</f>
        <v>#ERROR!</v>
      </c>
      <c r="E2722" s="7" t="s">
        <v>4438</v>
      </c>
    </row>
    <row r="2723">
      <c r="A2723" s="3" t="s">
        <v>4122</v>
      </c>
      <c r="B2723" s="4" t="s">
        <v>1900</v>
      </c>
      <c r="C2723" s="5">
        <v>16622.0</v>
      </c>
      <c r="D2723" s="8" t="str">
        <f>+31.025481°</f>
        <v>#ERROR!</v>
      </c>
      <c r="E2723" s="7" t="s">
        <v>4439</v>
      </c>
    </row>
    <row r="2724">
      <c r="A2724" s="3" t="s">
        <v>4122</v>
      </c>
      <c r="B2724" s="4" t="s">
        <v>4440</v>
      </c>
      <c r="C2724" s="5">
        <v>78337.0</v>
      </c>
      <c r="D2724" s="8" t="str">
        <f>+32.889216°</f>
        <v>#ERROR!</v>
      </c>
      <c r="E2724" s="7" t="s">
        <v>4441</v>
      </c>
    </row>
    <row r="2725">
      <c r="A2725" s="3" t="s">
        <v>4122</v>
      </c>
      <c r="B2725" s="4" t="s">
        <v>4442</v>
      </c>
      <c r="C2725" s="5">
        <v>10501.0</v>
      </c>
      <c r="D2725" s="8" t="str">
        <f>+31.833311°</f>
        <v>#ERROR!</v>
      </c>
      <c r="E2725" s="7" t="s">
        <v>4443</v>
      </c>
    </row>
    <row r="2726">
      <c r="A2726" s="3" t="s">
        <v>4122</v>
      </c>
      <c r="B2726" s="4" t="s">
        <v>4444</v>
      </c>
      <c r="C2726" s="5">
        <v>53330.0</v>
      </c>
      <c r="D2726" s="8" t="str">
        <f>+32.109423°</f>
        <v>#ERROR!</v>
      </c>
      <c r="E2726" s="7" t="s">
        <v>4445</v>
      </c>
    </row>
    <row r="2727">
      <c r="A2727" s="3" t="s">
        <v>4122</v>
      </c>
      <c r="B2727" s="4" t="s">
        <v>2000</v>
      </c>
      <c r="C2727" s="5">
        <v>10834.0</v>
      </c>
      <c r="D2727" s="8" t="str">
        <f>+31.343300°</f>
        <v>#ERROR!</v>
      </c>
      <c r="E2727" s="7" t="s">
        <v>4446</v>
      </c>
    </row>
    <row r="2728">
      <c r="A2728" s="3" t="s">
        <v>4122</v>
      </c>
      <c r="B2728" s="4" t="s">
        <v>4447</v>
      </c>
      <c r="C2728" s="5">
        <v>8865.0</v>
      </c>
      <c r="D2728" s="8" t="str">
        <f>+31.382449°</f>
        <v>#ERROR!</v>
      </c>
      <c r="E2728" s="7" t="s">
        <v>4448</v>
      </c>
    </row>
    <row r="2729">
      <c r="A2729" s="3" t="s">
        <v>4122</v>
      </c>
      <c r="B2729" s="4" t="s">
        <v>4449</v>
      </c>
      <c r="C2729" s="5">
        <v>26384.0</v>
      </c>
      <c r="D2729" s="8" t="str">
        <f>+30.574218°</f>
        <v>#ERROR!</v>
      </c>
      <c r="E2729" s="7" t="s">
        <v>4450</v>
      </c>
    </row>
    <row r="2730">
      <c r="A2730" s="3" t="s">
        <v>4122</v>
      </c>
      <c r="B2730" s="4" t="s">
        <v>4451</v>
      </c>
      <c r="C2730" s="5">
        <v>64804.0</v>
      </c>
      <c r="D2730" s="8" t="str">
        <f>+28.011782°</f>
        <v>#ERROR!</v>
      </c>
      <c r="E2730" s="7" t="s">
        <v>4452</v>
      </c>
    </row>
    <row r="2731">
      <c r="A2731" s="3" t="s">
        <v>4122</v>
      </c>
      <c r="B2731" s="4" t="s">
        <v>4453</v>
      </c>
      <c r="C2731" s="5">
        <v>6131.0</v>
      </c>
      <c r="D2731" s="8" t="str">
        <f>+31.155138°</f>
        <v>#ERROR!</v>
      </c>
      <c r="E2731" s="7" t="s">
        <v>4454</v>
      </c>
    </row>
    <row r="2732">
      <c r="A2732" s="3" t="s">
        <v>4122</v>
      </c>
      <c r="B2732" s="4" t="s">
        <v>4455</v>
      </c>
      <c r="C2732" s="5">
        <v>3461.0</v>
      </c>
      <c r="D2732" s="8" t="str">
        <f>+30.896233°</f>
        <v>#ERROR!</v>
      </c>
      <c r="E2732" s="7" t="s">
        <v>4456</v>
      </c>
    </row>
    <row r="2733">
      <c r="A2733" s="3" t="s">
        <v>4122</v>
      </c>
      <c r="B2733" s="4" t="s">
        <v>4457</v>
      </c>
      <c r="C2733" s="5">
        <v>16921.0</v>
      </c>
      <c r="D2733" s="8" t="str">
        <f>+32.744462°</f>
        <v>#ERROR!</v>
      </c>
      <c r="E2733" s="7" t="s">
        <v>4458</v>
      </c>
    </row>
    <row r="2734">
      <c r="A2734" s="3" t="s">
        <v>4122</v>
      </c>
      <c r="B2734" s="4" t="s">
        <v>4459</v>
      </c>
      <c r="C2734" s="5">
        <v>3378.0</v>
      </c>
      <c r="D2734" s="8" t="str">
        <f>+32.743788°</f>
        <v>#ERROR!</v>
      </c>
      <c r="E2734" s="7" t="s">
        <v>4460</v>
      </c>
    </row>
    <row r="2735">
      <c r="A2735" s="3" t="s">
        <v>4122</v>
      </c>
      <c r="B2735" s="4" t="s">
        <v>165</v>
      </c>
      <c r="C2735" s="5">
        <v>25448.0</v>
      </c>
      <c r="D2735" s="8" t="str">
        <f>+31.790137°</f>
        <v>#ERROR!</v>
      </c>
      <c r="E2735" s="7" t="s">
        <v>4461</v>
      </c>
    </row>
    <row r="2736">
      <c r="A2736" s="3" t="s">
        <v>4122</v>
      </c>
      <c r="B2736" s="4" t="s">
        <v>1724</v>
      </c>
      <c r="C2736" s="5">
        <v>3034.0</v>
      </c>
      <c r="D2736" s="8" t="str">
        <f>+36.277628°</f>
        <v>#ERROR!</v>
      </c>
      <c r="E2736" s="7" t="s">
        <v>4462</v>
      </c>
    </row>
    <row r="2737">
      <c r="A2737" s="3" t="s">
        <v>4122</v>
      </c>
      <c r="B2737" s="4" t="s">
        <v>1726</v>
      </c>
      <c r="C2737" s="5">
        <v>209714.0</v>
      </c>
      <c r="D2737" s="8" t="str">
        <f>+32.377093°</f>
        <v>#ERROR!</v>
      </c>
      <c r="E2737" s="7" t="s">
        <v>4463</v>
      </c>
    </row>
    <row r="2738">
      <c r="A2738" s="3" t="s">
        <v>4122</v>
      </c>
      <c r="B2738" s="4" t="s">
        <v>4464</v>
      </c>
      <c r="C2738" s="5">
        <v>8490.0</v>
      </c>
      <c r="D2738" s="8" t="str">
        <f>+32.217942°</f>
        <v>#ERROR!</v>
      </c>
      <c r="E2738" s="7" t="s">
        <v>4465</v>
      </c>
    </row>
    <row r="2739">
      <c r="A2739" s="3" t="s">
        <v>4122</v>
      </c>
      <c r="B2739" s="4" t="s">
        <v>4466</v>
      </c>
      <c r="C2739" s="5">
        <v>60968.0</v>
      </c>
      <c r="D2739" s="8" t="str">
        <f>+26.546335°</f>
        <v>#ERROR!</v>
      </c>
      <c r="E2739" s="7" t="s">
        <v>4467</v>
      </c>
    </row>
    <row r="2740">
      <c r="A2740" s="3" t="s">
        <v>4122</v>
      </c>
      <c r="B2740" s="4" t="s">
        <v>996</v>
      </c>
      <c r="C2740" s="5">
        <v>9630.0</v>
      </c>
      <c r="D2740" s="8" t="str">
        <f>+32.731531°</f>
        <v>#ERROR!</v>
      </c>
      <c r="E2740" s="7" t="s">
        <v>4468</v>
      </c>
    </row>
    <row r="2741">
      <c r="A2741" s="3" t="s">
        <v>4122</v>
      </c>
      <c r="B2741" s="4" t="s">
        <v>4469</v>
      </c>
      <c r="C2741" s="5">
        <v>1143.0</v>
      </c>
      <c r="D2741" s="8" t="str">
        <f>+31.835774°</f>
        <v>#ERROR!</v>
      </c>
      <c r="E2741" s="7" t="s">
        <v>4470</v>
      </c>
    </row>
    <row r="2742">
      <c r="A2742" s="3" t="s">
        <v>4122</v>
      </c>
      <c r="B2742" s="4" t="s">
        <v>4471</v>
      </c>
      <c r="C2742" s="5">
        <v>1490.0</v>
      </c>
      <c r="D2742" s="8" t="str">
        <f>+33.179580°</f>
        <v>#ERROR!</v>
      </c>
      <c r="E2742" s="7" t="s">
        <v>4472</v>
      </c>
    </row>
    <row r="2743">
      <c r="A2743" s="3" t="s">
        <v>4122</v>
      </c>
      <c r="B2743" s="4" t="s">
        <v>4473</v>
      </c>
      <c r="C2743" s="5">
        <v>4128.0</v>
      </c>
      <c r="D2743" s="8" t="str">
        <f>+30.517865°</f>
        <v>#ERROR!</v>
      </c>
      <c r="E2743" s="7" t="s">
        <v>4474</v>
      </c>
    </row>
    <row r="2744">
      <c r="A2744" s="3" t="s">
        <v>4122</v>
      </c>
      <c r="B2744" s="4" t="s">
        <v>4475</v>
      </c>
      <c r="C2744" s="5">
        <v>7854.0</v>
      </c>
      <c r="D2744" s="8" t="str">
        <f>+34.530460°</f>
        <v>#ERROR!</v>
      </c>
      <c r="E2744" s="7" t="s">
        <v>4476</v>
      </c>
    </row>
    <row r="2745">
      <c r="A2745" s="3" t="s">
        <v>4122</v>
      </c>
      <c r="B2745" s="4" t="s">
        <v>4477</v>
      </c>
      <c r="C2745" s="5">
        <v>1809034.0</v>
      </c>
      <c r="D2745" s="8" t="str">
        <f>+32.772040°</f>
        <v>#ERROR!</v>
      </c>
      <c r="E2745" s="7" t="s">
        <v>4478</v>
      </c>
    </row>
    <row r="2746">
      <c r="A2746" s="3" t="s">
        <v>4122</v>
      </c>
      <c r="B2746" s="4" t="s">
        <v>775</v>
      </c>
      <c r="C2746" s="5">
        <v>131506.0</v>
      </c>
      <c r="D2746" s="8" t="str">
        <f>+32.295684°</f>
        <v>#ERROR!</v>
      </c>
      <c r="E2746" s="7" t="s">
        <v>4479</v>
      </c>
    </row>
    <row r="2747">
      <c r="A2747" s="3" t="s">
        <v>4122</v>
      </c>
      <c r="B2747" s="4" t="s">
        <v>1010</v>
      </c>
      <c r="C2747" s="7">
        <v>984.0</v>
      </c>
      <c r="D2747" s="8" t="str">
        <f>+30.232332°</f>
        <v>#ERROR!</v>
      </c>
      <c r="E2747" s="7" t="s">
        <v>4480</v>
      </c>
    </row>
    <row r="2748">
      <c r="A2748" s="3" t="s">
        <v>4122</v>
      </c>
      <c r="B2748" s="4" t="s">
        <v>4481</v>
      </c>
      <c r="C2748" s="5">
        <v>12651.0</v>
      </c>
      <c r="D2748" s="8" t="str">
        <f>+33.171229°</f>
        <v>#ERROR!</v>
      </c>
      <c r="E2748" s="7" t="s">
        <v>4482</v>
      </c>
    </row>
    <row r="2749">
      <c r="A2749" s="3" t="s">
        <v>4122</v>
      </c>
      <c r="B2749" s="4" t="s">
        <v>4483</v>
      </c>
      <c r="C2749" s="5">
        <v>1641.0</v>
      </c>
      <c r="D2749" s="8" t="str">
        <f>+33.170712°</f>
        <v>#ERROR!</v>
      </c>
      <c r="E2749" s="7" t="s">
        <v>4484</v>
      </c>
    </row>
    <row r="2750">
      <c r="A2750" s="3" t="s">
        <v>4122</v>
      </c>
      <c r="B2750" s="4" t="s">
        <v>4485</v>
      </c>
      <c r="C2750" s="5">
        <v>32334.0</v>
      </c>
      <c r="D2750" s="8" t="str">
        <f>+33.214599°</f>
        <v>#ERROR!</v>
      </c>
      <c r="E2750" s="7" t="s">
        <v>4486</v>
      </c>
    </row>
    <row r="2751">
      <c r="A2751" s="3" t="s">
        <v>4122</v>
      </c>
      <c r="B2751" s="4" t="s">
        <v>4487</v>
      </c>
      <c r="C2751" s="5">
        <v>110224.0</v>
      </c>
      <c r="D2751" s="8" t="str">
        <f>+31.401583°</f>
        <v>#ERROR!</v>
      </c>
      <c r="E2751" s="7" t="s">
        <v>4488</v>
      </c>
    </row>
    <row r="2752">
      <c r="A2752" s="3" t="s">
        <v>4122</v>
      </c>
      <c r="B2752" s="4" t="s">
        <v>4489</v>
      </c>
      <c r="C2752" s="5">
        <v>1024266.0</v>
      </c>
      <c r="D2752" s="8" t="str">
        <f>+30.239513°</f>
        <v>#ERROR!</v>
      </c>
      <c r="E2752" s="7" t="s">
        <v>4490</v>
      </c>
    </row>
    <row r="2753">
      <c r="A2753" s="3" t="s">
        <v>4122</v>
      </c>
      <c r="B2753" s="4" t="s">
        <v>509</v>
      </c>
      <c r="C2753" s="5">
        <v>14585.0</v>
      </c>
      <c r="D2753" s="8" t="str">
        <f>+31.087483°</f>
        <v>#ERROR!</v>
      </c>
      <c r="E2753" s="7" t="s">
        <v>4491</v>
      </c>
    </row>
    <row r="2754">
      <c r="A2754" s="3" t="s">
        <v>4122</v>
      </c>
      <c r="B2754" s="4" t="s">
        <v>4492</v>
      </c>
      <c r="C2754" s="5">
        <v>21766.0</v>
      </c>
      <c r="D2754" s="8" t="str">
        <f>+30.769579°</f>
        <v>#ERROR!</v>
      </c>
      <c r="E2754" s="7" t="s">
        <v>4493</v>
      </c>
    </row>
    <row r="2755">
      <c r="A2755" s="3" t="s">
        <v>4122</v>
      </c>
      <c r="B2755" s="4" t="s">
        <v>4494</v>
      </c>
      <c r="C2755" s="5">
        <v>39309.0</v>
      </c>
      <c r="D2755" s="8" t="str">
        <f>+32.735878°</f>
        <v>#ERROR!</v>
      </c>
      <c r="E2755" s="7" t="s">
        <v>4495</v>
      </c>
    </row>
    <row r="2756">
      <c r="A2756" s="3" t="s">
        <v>4122</v>
      </c>
      <c r="B2756" s="4" t="s">
        <v>4496</v>
      </c>
      <c r="C2756" s="5">
        <v>3355.0</v>
      </c>
      <c r="D2756" s="8" t="str">
        <f>+31.353849°</f>
        <v>#ERROR!</v>
      </c>
      <c r="E2756" s="7" t="s">
        <v>4497</v>
      </c>
    </row>
    <row r="2757">
      <c r="A2757" s="3" t="s">
        <v>4122</v>
      </c>
      <c r="B2757" s="4" t="s">
        <v>4498</v>
      </c>
      <c r="C2757" s="5">
        <v>26405.0</v>
      </c>
      <c r="D2757" s="8" t="str">
        <f>+29.350340°</f>
        <v>#ERROR!</v>
      </c>
      <c r="E2757" s="7" t="s">
        <v>4499</v>
      </c>
    </row>
    <row r="2758">
      <c r="A2758" s="3" t="s">
        <v>4122</v>
      </c>
      <c r="B2758" s="4" t="s">
        <v>4500</v>
      </c>
      <c r="C2758" s="5">
        <v>48879.0</v>
      </c>
      <c r="D2758" s="8" t="str">
        <f>+29.884961°</f>
        <v>#ERROR!</v>
      </c>
      <c r="E2758" s="7" t="s">
        <v>4501</v>
      </c>
    </row>
    <row r="2759">
      <c r="A2759" s="3" t="s">
        <v>4122</v>
      </c>
      <c r="B2759" s="4" t="s">
        <v>4502</v>
      </c>
      <c r="C2759" s="5">
        <v>52579.0</v>
      </c>
      <c r="D2759" s="8" t="str">
        <f>+32.558948°</f>
        <v>#ERROR!</v>
      </c>
      <c r="E2759" s="7" t="s">
        <v>4503</v>
      </c>
    </row>
    <row r="2760">
      <c r="A2760" s="3" t="s">
        <v>4122</v>
      </c>
      <c r="B2760" s="4" t="s">
        <v>4504</v>
      </c>
      <c r="C2760" s="5">
        <v>86793.0</v>
      </c>
      <c r="D2760" s="8" t="str">
        <f>+28.796370°</f>
        <v>#ERROR!</v>
      </c>
      <c r="E2760" s="7" t="s">
        <v>4505</v>
      </c>
    </row>
    <row r="2761">
      <c r="A2761" s="3" t="s">
        <v>4122</v>
      </c>
      <c r="B2761" s="4" t="s">
        <v>175</v>
      </c>
      <c r="C2761" s="5">
        <v>67861.0</v>
      </c>
      <c r="D2761" s="8" t="str">
        <f>+30.743090°</f>
        <v>#ERROR!</v>
      </c>
      <c r="E2761" s="7" t="s">
        <v>4506</v>
      </c>
    </row>
    <row r="2762">
      <c r="A2762" s="3" t="s">
        <v>4122</v>
      </c>
      <c r="B2762" s="4" t="s">
        <v>4507</v>
      </c>
      <c r="C2762" s="5">
        <v>43205.0</v>
      </c>
      <c r="D2762" s="8" t="str">
        <f>+30.013578°</f>
        <v>#ERROR!</v>
      </c>
      <c r="E2762" s="7" t="s">
        <v>4508</v>
      </c>
    </row>
    <row r="2763">
      <c r="A2763" s="3" t="s">
        <v>4122</v>
      </c>
      <c r="B2763" s="4" t="s">
        <v>3407</v>
      </c>
      <c r="C2763" s="5">
        <v>10658.0</v>
      </c>
      <c r="D2763" s="8" t="str">
        <f>+31.513069°</f>
        <v>#ERROR!</v>
      </c>
      <c r="E2763" s="7" t="s">
        <v>4509</v>
      </c>
    </row>
    <row r="2764">
      <c r="A2764" s="3" t="s">
        <v>4122</v>
      </c>
      <c r="B2764" s="4" t="s">
        <v>177</v>
      </c>
      <c r="C2764" s="5">
        <v>33718.0</v>
      </c>
      <c r="D2764" s="8" t="str">
        <f>+30.215075°</f>
        <v>#ERROR!</v>
      </c>
      <c r="E2764" s="7" t="s">
        <v>4510</v>
      </c>
    </row>
    <row r="2765">
      <c r="A2765" s="3" t="s">
        <v>4122</v>
      </c>
      <c r="B2765" s="4" t="s">
        <v>4511</v>
      </c>
      <c r="C2765" s="5">
        <v>250304.0</v>
      </c>
      <c r="D2765" s="8" t="str">
        <f>+27.770584°</f>
        <v>#ERROR!</v>
      </c>
      <c r="E2765" s="7" t="s">
        <v>4512</v>
      </c>
    </row>
    <row r="2766">
      <c r="A2766" s="3" t="s">
        <v>4122</v>
      </c>
      <c r="B2766" s="4" t="s">
        <v>4513</v>
      </c>
      <c r="C2766" s="5">
        <v>41280.0</v>
      </c>
      <c r="D2766" s="8" t="str">
        <f>+29.278481°</f>
        <v>#ERROR!</v>
      </c>
      <c r="E2766" s="7" t="s">
        <v>4514</v>
      </c>
    </row>
    <row r="2767">
      <c r="A2767" s="3" t="s">
        <v>4122</v>
      </c>
      <c r="B2767" s="4" t="s">
        <v>1042</v>
      </c>
      <c r="C2767" s="5">
        <v>5410.0</v>
      </c>
      <c r="D2767" s="8" t="str">
        <f>+35.392593°</f>
        <v>#ERROR!</v>
      </c>
      <c r="E2767" s="7" t="s">
        <v>4515</v>
      </c>
    </row>
    <row r="2768">
      <c r="A2768" s="3" t="s">
        <v>4122</v>
      </c>
      <c r="B2768" s="4" t="s">
        <v>1744</v>
      </c>
      <c r="C2768" s="5">
        <v>131500.0</v>
      </c>
      <c r="D2768" s="8" t="str">
        <f>+33.991103°</f>
        <v>#ERROR!</v>
      </c>
      <c r="E2768" s="7" t="s">
        <v>4516</v>
      </c>
    </row>
    <row r="2769">
      <c r="A2769" s="3" t="s">
        <v>4122</v>
      </c>
      <c r="B2769" s="4" t="s">
        <v>4517</v>
      </c>
      <c r="C2769" s="5">
        <v>13535.0</v>
      </c>
      <c r="D2769" s="8" t="str">
        <f>+34.084920°</f>
        <v>#ERROR!</v>
      </c>
      <c r="E2769" s="7" t="s">
        <v>4518</v>
      </c>
    </row>
    <row r="2770">
      <c r="A2770" s="3" t="s">
        <v>4122</v>
      </c>
      <c r="B2770" s="4" t="s">
        <v>4519</v>
      </c>
      <c r="C2770" s="5">
        <v>22134.0</v>
      </c>
      <c r="D2770" s="8" t="str">
        <f>+26.481092°</f>
        <v>#ERROR!</v>
      </c>
      <c r="E2770" s="7" t="s">
        <v>4520</v>
      </c>
    </row>
    <row r="2771">
      <c r="A2771" s="3" t="s">
        <v>4122</v>
      </c>
      <c r="B2771" s="4" t="s">
        <v>1294</v>
      </c>
      <c r="C2771" s="5">
        <v>422679.0</v>
      </c>
      <c r="D2771" s="8" t="str">
        <f>+30.649030°</f>
        <v>#ERROR!</v>
      </c>
      <c r="E2771" s="7" t="s">
        <v>4521</v>
      </c>
    </row>
    <row r="2772">
      <c r="A2772" s="3" t="s">
        <v>4122</v>
      </c>
      <c r="B2772" s="4" t="s">
        <v>1746</v>
      </c>
      <c r="C2772" s="5">
        <v>42918.0</v>
      </c>
      <c r="D2772" s="8" t="str">
        <f>+29.174303°</f>
        <v>#ERROR!</v>
      </c>
      <c r="E2772" s="7" t="s">
        <v>4522</v>
      </c>
    </row>
    <row r="2773">
      <c r="A2773" s="3" t="s">
        <v>4122</v>
      </c>
      <c r="B2773" s="4" t="s">
        <v>4523</v>
      </c>
      <c r="C2773" s="5">
        <v>7110.0</v>
      </c>
      <c r="D2773" s="8" t="str">
        <f>+31.831416°</f>
        <v>#ERROR!</v>
      </c>
      <c r="E2773" s="7" t="s">
        <v>4524</v>
      </c>
    </row>
    <row r="2774">
      <c r="A2774" s="3" t="s">
        <v>4122</v>
      </c>
      <c r="B2774" s="4" t="s">
        <v>4525</v>
      </c>
      <c r="C2774" s="5">
        <v>59127.0</v>
      </c>
      <c r="D2774" s="8" t="str">
        <f>+33.219095°</f>
        <v>#ERROR!</v>
      </c>
      <c r="E2774" s="7" t="s">
        <v>4526</v>
      </c>
    </row>
    <row r="2775">
      <c r="A2775" s="3" t="s">
        <v>4122</v>
      </c>
      <c r="B2775" s="4" t="s">
        <v>3533</v>
      </c>
      <c r="C2775" s="5">
        <v>41964.0</v>
      </c>
      <c r="D2775" s="8" t="str">
        <f>+32.783588°</f>
        <v>#ERROR!</v>
      </c>
      <c r="E2775" s="7" t="s">
        <v>4527</v>
      </c>
    </row>
    <row r="2776">
      <c r="A2776" s="3" t="s">
        <v>4122</v>
      </c>
      <c r="B2776" s="4" t="s">
        <v>4528</v>
      </c>
      <c r="C2776" s="5">
        <v>7879.0</v>
      </c>
      <c r="D2776" s="8" t="str">
        <f>+33.172397°</f>
        <v>#ERROR!</v>
      </c>
      <c r="E2776" s="7" t="s">
        <v>4529</v>
      </c>
    </row>
    <row r="2777">
      <c r="A2777" s="3" t="s">
        <v>4122</v>
      </c>
      <c r="B2777" s="4" t="s">
        <v>4530</v>
      </c>
      <c r="C2777" s="5">
        <v>18550.0</v>
      </c>
      <c r="D2777" s="8" t="str">
        <f>+33.158787°</f>
        <v>#ERROR!</v>
      </c>
      <c r="E2777" s="7" t="s">
        <v>4531</v>
      </c>
    </row>
    <row r="2778">
      <c r="A2778" s="3" t="s">
        <v>4122</v>
      </c>
      <c r="B2778" s="4" t="s">
        <v>4532</v>
      </c>
      <c r="C2778" s="5">
        <v>14018.0</v>
      </c>
      <c r="D2778" s="8" t="str">
        <f>+26.996981°</f>
        <v>#ERROR!</v>
      </c>
      <c r="E2778" s="7" t="s">
        <v>4533</v>
      </c>
    </row>
    <row r="2779">
      <c r="A2779" s="3" t="s">
        <v>4122</v>
      </c>
      <c r="B2779" s="4" t="s">
        <v>4534</v>
      </c>
      <c r="C2779" s="5">
        <v>11677.0</v>
      </c>
      <c r="D2779" s="8" t="str">
        <f>+28.864652°</f>
        <v>#ERROR!</v>
      </c>
      <c r="E2779" s="7" t="s">
        <v>4535</v>
      </c>
    </row>
    <row r="2780">
      <c r="A2780" s="3" t="s">
        <v>4536</v>
      </c>
      <c r="B2780" s="4" t="s">
        <v>3543</v>
      </c>
      <c r="C2780" s="5">
        <v>6629.0</v>
      </c>
      <c r="D2780" s="8" t="str">
        <f>+38.357535°</f>
        <v>#ERROR!</v>
      </c>
      <c r="E2780" s="7" t="s">
        <v>4537</v>
      </c>
    </row>
    <row r="2781">
      <c r="A2781" s="3" t="s">
        <v>4536</v>
      </c>
      <c r="B2781" s="4" t="s">
        <v>4538</v>
      </c>
      <c r="C2781" s="5">
        <v>49975.0</v>
      </c>
      <c r="D2781" s="8" t="str">
        <f>+41.476021°</f>
        <v>#ERROR!</v>
      </c>
      <c r="E2781" s="7" t="s">
        <v>4539</v>
      </c>
    </row>
    <row r="2782">
      <c r="A2782" s="3" t="s">
        <v>4536</v>
      </c>
      <c r="B2782" s="4" t="s">
        <v>4540</v>
      </c>
      <c r="C2782" s="5">
        <v>112656.0</v>
      </c>
      <c r="D2782" s="8" t="str">
        <f>+41.734225°</f>
        <v>#ERROR!</v>
      </c>
      <c r="E2782" s="7" t="s">
        <v>4541</v>
      </c>
    </row>
    <row r="2783">
      <c r="A2783" s="3" t="s">
        <v>4536</v>
      </c>
      <c r="B2783" s="4" t="s">
        <v>2710</v>
      </c>
      <c r="C2783" s="5">
        <v>21403.0</v>
      </c>
      <c r="D2783" s="8" t="str">
        <f>+39.670050°</f>
        <v>#ERROR!</v>
      </c>
      <c r="E2783" s="7" t="s">
        <v>4542</v>
      </c>
    </row>
    <row r="2784">
      <c r="A2784" s="3" t="s">
        <v>4536</v>
      </c>
      <c r="B2784" s="4" t="s">
        <v>4543</v>
      </c>
      <c r="C2784" s="5">
        <v>1059.0</v>
      </c>
      <c r="D2784" s="8" t="str">
        <f>+40.890099°</f>
        <v>#ERROR!</v>
      </c>
      <c r="E2784" s="7" t="s">
        <v>4544</v>
      </c>
    </row>
    <row r="2785">
      <c r="A2785" s="3" t="s">
        <v>4536</v>
      </c>
      <c r="B2785" s="4" t="s">
        <v>1471</v>
      </c>
      <c r="C2785" s="5">
        <v>306479.0</v>
      </c>
      <c r="D2785" s="8" t="str">
        <f>+41.037045°</f>
        <v>#ERROR!</v>
      </c>
      <c r="E2785" s="7" t="s">
        <v>4545</v>
      </c>
    </row>
    <row r="2786">
      <c r="A2786" s="3" t="s">
        <v>4536</v>
      </c>
      <c r="B2786" s="4" t="s">
        <v>4546</v>
      </c>
      <c r="C2786" s="5">
        <v>18607.0</v>
      </c>
      <c r="D2786" s="8" t="str">
        <f>+40.289649°</f>
        <v>#ERROR!</v>
      </c>
      <c r="E2786" s="7" t="s">
        <v>4547</v>
      </c>
    </row>
    <row r="2787">
      <c r="A2787" s="3" t="s">
        <v>4536</v>
      </c>
      <c r="B2787" s="4" t="s">
        <v>4548</v>
      </c>
      <c r="C2787" s="5">
        <v>10976.0</v>
      </c>
      <c r="D2787" s="8" t="str">
        <f>+39.009028°</f>
        <v>#ERROR!</v>
      </c>
      <c r="E2787" s="7" t="s">
        <v>4549</v>
      </c>
    </row>
    <row r="2788">
      <c r="A2788" s="3" t="s">
        <v>4536</v>
      </c>
      <c r="B2788" s="4" t="s">
        <v>568</v>
      </c>
      <c r="C2788" s="5">
        <v>5172.0</v>
      </c>
      <c r="D2788" s="8" t="str">
        <f>+37.831622°</f>
        <v>#ERROR!</v>
      </c>
      <c r="E2788" s="7" t="s">
        <v>4550</v>
      </c>
    </row>
    <row r="2789">
      <c r="A2789" s="3" t="s">
        <v>4536</v>
      </c>
      <c r="B2789" s="4" t="s">
        <v>572</v>
      </c>
      <c r="C2789" s="5">
        <v>9225.0</v>
      </c>
      <c r="D2789" s="8" t="str">
        <f>+38.974326°</f>
        <v>#ERROR!</v>
      </c>
      <c r="E2789" s="7" t="s">
        <v>4551</v>
      </c>
    </row>
    <row r="2790">
      <c r="A2790" s="3" t="s">
        <v>4536</v>
      </c>
      <c r="B2790" s="4" t="s">
        <v>2197</v>
      </c>
      <c r="C2790" s="5">
        <v>46163.0</v>
      </c>
      <c r="D2790" s="8" t="str">
        <f>+37.882727°</f>
        <v>#ERROR!</v>
      </c>
      <c r="E2790" s="7" t="s">
        <v>4552</v>
      </c>
    </row>
    <row r="2791">
      <c r="A2791" s="3" t="s">
        <v>4536</v>
      </c>
      <c r="B2791" s="4" t="s">
        <v>4553</v>
      </c>
      <c r="C2791" s="5">
        <v>10246.0</v>
      </c>
      <c r="D2791" s="8" t="str">
        <f>+39.710827°</f>
        <v>#ERROR!</v>
      </c>
      <c r="E2791" s="7" t="s">
        <v>4554</v>
      </c>
    </row>
    <row r="2792">
      <c r="A2792" s="3" t="s">
        <v>4536</v>
      </c>
      <c r="B2792" s="4" t="s">
        <v>1210</v>
      </c>
      <c r="C2792" s="5">
        <v>7125.0</v>
      </c>
      <c r="D2792" s="8" t="str">
        <f>+37.275118°</f>
        <v>#ERROR!</v>
      </c>
      <c r="E2792" s="7" t="s">
        <v>4555</v>
      </c>
    </row>
    <row r="2793">
      <c r="A2793" s="3" t="s">
        <v>4536</v>
      </c>
      <c r="B2793" s="4" t="s">
        <v>4556</v>
      </c>
      <c r="C2793" s="5">
        <v>12503.0</v>
      </c>
      <c r="D2793" s="8" t="str">
        <f>+39.094540°</f>
        <v>#ERROR!</v>
      </c>
      <c r="E2793" s="7" t="s">
        <v>4557</v>
      </c>
    </row>
    <row r="2794">
      <c r="A2794" s="3" t="s">
        <v>4536</v>
      </c>
      <c r="B2794" s="4" t="s">
        <v>151</v>
      </c>
      <c r="C2794" s="5">
        <v>9469.0</v>
      </c>
      <c r="D2794" s="8" t="str">
        <f>+41.091027°</f>
        <v>#ERROR!</v>
      </c>
      <c r="E2794" s="7" t="s">
        <v>4558</v>
      </c>
    </row>
    <row r="2795">
      <c r="A2795" s="3" t="s">
        <v>4536</v>
      </c>
      <c r="B2795" s="4" t="s">
        <v>4559</v>
      </c>
      <c r="C2795" s="5">
        <v>1556.0</v>
      </c>
      <c r="D2795" s="8" t="str">
        <f>+38.335881°</f>
        <v>#ERROR!</v>
      </c>
      <c r="E2795" s="7" t="s">
        <v>4560</v>
      </c>
    </row>
    <row r="2796">
      <c r="A2796" s="3" t="s">
        <v>4536</v>
      </c>
      <c r="B2796" s="4" t="s">
        <v>4561</v>
      </c>
      <c r="C2796" s="5">
        <v>2264.0</v>
      </c>
      <c r="D2796" s="8" t="str">
        <f>+41.627598°</f>
        <v>#ERROR!</v>
      </c>
      <c r="E2796" s="7" t="s">
        <v>4562</v>
      </c>
    </row>
    <row r="2797">
      <c r="A2797" s="3" t="s">
        <v>4536</v>
      </c>
      <c r="B2797" s="4" t="s">
        <v>4563</v>
      </c>
      <c r="C2797" s="5">
        <v>1029655.0</v>
      </c>
      <c r="D2797" s="8" t="str">
        <f>+40.667882°</f>
        <v>#ERROR!</v>
      </c>
      <c r="E2797" s="7" t="s">
        <v>4564</v>
      </c>
    </row>
    <row r="2798">
      <c r="A2798" s="3" t="s">
        <v>4536</v>
      </c>
      <c r="B2798" s="4" t="s">
        <v>627</v>
      </c>
      <c r="C2798" s="5">
        <v>14746.0</v>
      </c>
      <c r="D2798" s="8" t="str">
        <f>+37.623064°</f>
        <v>#ERROR!</v>
      </c>
      <c r="E2798" s="7" t="s">
        <v>4565</v>
      </c>
    </row>
    <row r="2799">
      <c r="A2799" s="3" t="s">
        <v>4536</v>
      </c>
      <c r="B2799" s="4" t="s">
        <v>4566</v>
      </c>
      <c r="C2799" s="5">
        <v>27822.0</v>
      </c>
      <c r="D2799" s="8" t="str">
        <f>+39.380588°</f>
        <v>#ERROR!</v>
      </c>
      <c r="E2799" s="7" t="s">
        <v>4567</v>
      </c>
    </row>
    <row r="2800">
      <c r="A2800" s="3" t="s">
        <v>4536</v>
      </c>
      <c r="B2800" s="4" t="s">
        <v>389</v>
      </c>
      <c r="C2800" s="5">
        <v>20802.0</v>
      </c>
      <c r="D2800" s="8" t="str">
        <f>+38.746825°</f>
        <v>#ERROR!</v>
      </c>
      <c r="E2800" s="7" t="s">
        <v>4568</v>
      </c>
    </row>
    <row r="2801">
      <c r="A2801" s="3" t="s">
        <v>4536</v>
      </c>
      <c r="B2801" s="4" t="s">
        <v>633</v>
      </c>
      <c r="C2801" s="5">
        <v>36324.0</v>
      </c>
      <c r="D2801" s="8" t="str">
        <f>+40.872060°</f>
        <v>#ERROR!</v>
      </c>
      <c r="E2801" s="7" t="s">
        <v>4569</v>
      </c>
    </row>
    <row r="2802">
      <c r="A2802" s="3" t="s">
        <v>4536</v>
      </c>
      <c r="B2802" s="4" t="s">
        <v>4570</v>
      </c>
      <c r="C2802" s="5">
        <v>58218.0</v>
      </c>
      <c r="D2802" s="8" t="str">
        <f>+40.467692°</f>
        <v>#ERROR!</v>
      </c>
      <c r="E2802" s="7" t="s">
        <v>4571</v>
      </c>
    </row>
    <row r="2803">
      <c r="A2803" s="3" t="s">
        <v>4536</v>
      </c>
      <c r="B2803" s="4" t="s">
        <v>4572</v>
      </c>
      <c r="C2803" s="5">
        <v>32588.0</v>
      </c>
      <c r="D2803" s="8" t="str">
        <f>+40.125887°</f>
        <v>#ERROR!</v>
      </c>
      <c r="E2803" s="7" t="s">
        <v>4573</v>
      </c>
    </row>
    <row r="2804">
      <c r="A2804" s="3" t="s">
        <v>4536</v>
      </c>
      <c r="B2804" s="4" t="s">
        <v>4574</v>
      </c>
      <c r="C2804" s="5">
        <v>516564.0</v>
      </c>
      <c r="D2804" s="8" t="str">
        <f>+40.120409°</f>
        <v>#ERROR!</v>
      </c>
      <c r="E2804" s="7" t="s">
        <v>4575</v>
      </c>
    </row>
    <row r="2805">
      <c r="A2805" s="3" t="s">
        <v>4536</v>
      </c>
      <c r="B2805" s="4" t="s">
        <v>4576</v>
      </c>
      <c r="C2805" s="5">
        <v>23530.0</v>
      </c>
      <c r="D2805" s="8" t="str">
        <f>+40.334884°</f>
        <v>#ERROR!</v>
      </c>
      <c r="E2805" s="7" t="s">
        <v>4577</v>
      </c>
    </row>
    <row r="2806">
      <c r="A2806" s="3" t="s">
        <v>4536</v>
      </c>
      <c r="B2806" s="4" t="s">
        <v>177</v>
      </c>
      <c r="C2806" s="5">
        <v>138115.0</v>
      </c>
      <c r="D2806" s="8" t="str">
        <f>+37.262531°</f>
        <v>#ERROR!</v>
      </c>
      <c r="E2806" s="7" t="s">
        <v>4578</v>
      </c>
    </row>
    <row r="2807">
      <c r="A2807" s="3" t="s">
        <v>4536</v>
      </c>
      <c r="B2807" s="4" t="s">
        <v>1038</v>
      </c>
      <c r="C2807" s="5">
        <v>2778.0</v>
      </c>
      <c r="D2807" s="8" t="str">
        <f>+38.261229°</f>
        <v>#ERROR!</v>
      </c>
      <c r="E2807" s="7" t="s">
        <v>4579</v>
      </c>
    </row>
    <row r="2808">
      <c r="A2808" s="3" t="s">
        <v>4536</v>
      </c>
      <c r="B2808" s="4" t="s">
        <v>4580</v>
      </c>
      <c r="C2808" s="5">
        <v>231236.0</v>
      </c>
      <c r="D2808" s="8" t="str">
        <f>+41.270355°</f>
        <v>#ERROR!</v>
      </c>
      <c r="E2808" s="7" t="s">
        <v>4581</v>
      </c>
    </row>
    <row r="2809">
      <c r="A2809" s="3" t="s">
        <v>4582</v>
      </c>
      <c r="B2809" s="4" t="s">
        <v>4583</v>
      </c>
      <c r="C2809" s="5">
        <v>36821.0</v>
      </c>
      <c r="D2809" s="8" t="str">
        <f>+44.031248°</f>
        <v>#ERROR!</v>
      </c>
      <c r="E2809" s="7" t="s">
        <v>4584</v>
      </c>
    </row>
    <row r="2810">
      <c r="A2810" s="3" t="s">
        <v>4582</v>
      </c>
      <c r="B2810" s="4" t="s">
        <v>4585</v>
      </c>
      <c r="C2810" s="5">
        <v>37125.0</v>
      </c>
      <c r="D2810" s="8" t="str">
        <f>+43.035325°</f>
        <v>#ERROR!</v>
      </c>
      <c r="E2810" s="7" t="s">
        <v>4586</v>
      </c>
    </row>
    <row r="2811">
      <c r="A2811" s="3" t="s">
        <v>4582</v>
      </c>
      <c r="B2811" s="4" t="s">
        <v>4587</v>
      </c>
      <c r="C2811" s="5">
        <v>31227.0</v>
      </c>
      <c r="D2811" s="8" t="str">
        <f>+44.468791°</f>
        <v>#ERROR!</v>
      </c>
      <c r="E2811" s="7" t="s">
        <v>4588</v>
      </c>
    </row>
    <row r="2812">
      <c r="A2812" s="3" t="s">
        <v>4582</v>
      </c>
      <c r="B2812" s="4" t="s">
        <v>4589</v>
      </c>
      <c r="C2812" s="5">
        <v>156545.0</v>
      </c>
      <c r="D2812" s="8" t="str">
        <f>+44.460676°</f>
        <v>#ERROR!</v>
      </c>
      <c r="E2812" s="7" t="s">
        <v>4590</v>
      </c>
    </row>
    <row r="2813">
      <c r="A2813" s="3" t="s">
        <v>4582</v>
      </c>
      <c r="B2813" s="4" t="s">
        <v>2118</v>
      </c>
      <c r="C2813" s="5">
        <v>6306.0</v>
      </c>
      <c r="D2813" s="8" t="str">
        <f>+44.724021°</f>
        <v>#ERROR!</v>
      </c>
      <c r="E2813" s="7" t="s">
        <v>4591</v>
      </c>
    </row>
    <row r="2814">
      <c r="A2814" s="3" t="s">
        <v>4582</v>
      </c>
      <c r="B2814" s="4" t="s">
        <v>90</v>
      </c>
      <c r="C2814" s="5">
        <v>47746.0</v>
      </c>
      <c r="D2814" s="8" t="str">
        <f>+44.858964°</f>
        <v>#ERROR!</v>
      </c>
      <c r="E2814" s="7" t="s">
        <v>4592</v>
      </c>
    </row>
    <row r="2815">
      <c r="A2815" s="3" t="s">
        <v>4582</v>
      </c>
      <c r="B2815" s="4" t="s">
        <v>4593</v>
      </c>
      <c r="C2815" s="5">
        <v>6970.0</v>
      </c>
      <c r="D2815" s="8" t="str">
        <f>+44.801788°</f>
        <v>#ERROR!</v>
      </c>
      <c r="E2815" s="7" t="s">
        <v>4594</v>
      </c>
    </row>
    <row r="2816">
      <c r="A2816" s="3" t="s">
        <v>4582</v>
      </c>
      <c r="B2816" s="4" t="s">
        <v>4595</v>
      </c>
      <c r="C2816" s="5">
        <v>24475.0</v>
      </c>
      <c r="D2816" s="8" t="str">
        <f>+44.603504°</f>
        <v>#ERROR!</v>
      </c>
      <c r="E2816" s="7" t="s">
        <v>4596</v>
      </c>
    </row>
    <row r="2817">
      <c r="A2817" s="3" t="s">
        <v>4582</v>
      </c>
      <c r="B2817" s="4" t="s">
        <v>464</v>
      </c>
      <c r="C2817" s="5">
        <v>28936.0</v>
      </c>
      <c r="D2817" s="8" t="str">
        <f>+44.003392°</f>
        <v>#ERROR!</v>
      </c>
      <c r="E2817" s="7" t="s">
        <v>4597</v>
      </c>
    </row>
    <row r="2818">
      <c r="A2818" s="3" t="s">
        <v>4582</v>
      </c>
      <c r="B2818" s="4" t="s">
        <v>1988</v>
      </c>
      <c r="C2818" s="5">
        <v>27231.0</v>
      </c>
      <c r="D2818" s="8" t="str">
        <f>+44.828442°</f>
        <v>#ERROR!</v>
      </c>
      <c r="E2818" s="7" t="s">
        <v>4598</v>
      </c>
    </row>
    <row r="2819">
      <c r="A2819" s="3" t="s">
        <v>4582</v>
      </c>
      <c r="B2819" s="4" t="s">
        <v>4599</v>
      </c>
      <c r="C2819" s="5">
        <v>61642.0</v>
      </c>
      <c r="D2819" s="8" t="str">
        <f>+43.580844°</f>
        <v>#ERROR!</v>
      </c>
      <c r="E2819" s="7" t="s">
        <v>4600</v>
      </c>
    </row>
    <row r="2820">
      <c r="A2820" s="3" t="s">
        <v>4582</v>
      </c>
      <c r="B2820" s="4" t="s">
        <v>177</v>
      </c>
      <c r="C2820" s="5">
        <v>59534.0</v>
      </c>
      <c r="D2820" s="8" t="str">
        <f>+44.274953°</f>
        <v>#ERROR!</v>
      </c>
      <c r="E2820" s="7" t="s">
        <v>4601</v>
      </c>
    </row>
    <row r="2821">
      <c r="A2821" s="3" t="s">
        <v>4582</v>
      </c>
      <c r="B2821" s="4" t="s">
        <v>4602</v>
      </c>
      <c r="C2821" s="5">
        <v>44513.0</v>
      </c>
      <c r="D2821" s="8" t="str">
        <f>+42.999143°</f>
        <v>#ERROR!</v>
      </c>
      <c r="E2821" s="7" t="s">
        <v>4603</v>
      </c>
    </row>
    <row r="2822">
      <c r="A2822" s="3" t="s">
        <v>4582</v>
      </c>
      <c r="B2822" s="4" t="s">
        <v>4604</v>
      </c>
      <c r="C2822" s="5">
        <v>56670.0</v>
      </c>
      <c r="D2822" s="8" t="str">
        <f>+43.588143°</f>
        <v>#ERROR!</v>
      </c>
      <c r="E2822" s="7" t="s">
        <v>4605</v>
      </c>
    </row>
    <row r="2823">
      <c r="A2823" s="3" t="s">
        <v>4606</v>
      </c>
      <c r="B2823" s="4" t="s">
        <v>4607</v>
      </c>
      <c r="C2823" s="5">
        <v>33164.0</v>
      </c>
      <c r="D2823" s="8" t="str">
        <f>+37.765944°</f>
        <v>#ERROR!</v>
      </c>
      <c r="E2823" s="7" t="s">
        <v>4608</v>
      </c>
    </row>
    <row r="2824">
      <c r="A2824" s="3" t="s">
        <v>4606</v>
      </c>
      <c r="B2824" s="4" t="s">
        <v>4609</v>
      </c>
      <c r="C2824" s="5">
        <v>98970.0</v>
      </c>
      <c r="D2824" s="8" t="str">
        <f>+38.024184°</f>
        <v>#ERROR!</v>
      </c>
      <c r="E2824" s="7" t="s">
        <v>4610</v>
      </c>
    </row>
    <row r="2825">
      <c r="A2825" s="3" t="s">
        <v>4606</v>
      </c>
      <c r="B2825" s="4" t="s">
        <v>3166</v>
      </c>
      <c r="C2825" s="5">
        <v>16250.0</v>
      </c>
      <c r="D2825" s="8" t="str">
        <f>+37.787905°</f>
        <v>#ERROR!</v>
      </c>
      <c r="E2825" s="7" t="s">
        <v>4611</v>
      </c>
    </row>
    <row r="2826">
      <c r="A2826" s="3" t="s">
        <v>4606</v>
      </c>
      <c r="B2826" s="4" t="s">
        <v>4612</v>
      </c>
      <c r="C2826" s="5">
        <v>12690.0</v>
      </c>
      <c r="D2826" s="8" t="str">
        <f>+37.336131°</f>
        <v>#ERROR!</v>
      </c>
      <c r="E2826" s="7" t="s">
        <v>4613</v>
      </c>
    </row>
    <row r="2827">
      <c r="A2827" s="3" t="s">
        <v>4606</v>
      </c>
      <c r="B2827" s="4" t="s">
        <v>4614</v>
      </c>
      <c r="C2827" s="5">
        <v>32353.0</v>
      </c>
      <c r="D2827" s="8" t="str">
        <f>+37.630362°</f>
        <v>#ERROR!</v>
      </c>
      <c r="E2827" s="7" t="s">
        <v>4615</v>
      </c>
    </row>
    <row r="2828">
      <c r="A2828" s="3" t="s">
        <v>4606</v>
      </c>
      <c r="B2828" s="4" t="s">
        <v>4616</v>
      </c>
      <c r="C2828" s="5">
        <v>14973.0</v>
      </c>
      <c r="D2828" s="8" t="str">
        <f>+37.370725°</f>
        <v>#ERROR!</v>
      </c>
      <c r="E2828" s="7" t="s">
        <v>4617</v>
      </c>
    </row>
    <row r="2829">
      <c r="A2829" s="3" t="s">
        <v>4606</v>
      </c>
      <c r="B2829" s="4" t="s">
        <v>4618</v>
      </c>
      <c r="C2829" s="5">
        <v>207627.0</v>
      </c>
      <c r="D2829" s="8" t="str">
        <f>+38.878337°</f>
        <v>#ERROR!</v>
      </c>
      <c r="E2829" s="7" t="s">
        <v>4619</v>
      </c>
    </row>
    <row r="2830">
      <c r="A2830" s="3" t="s">
        <v>4606</v>
      </c>
      <c r="B2830" s="4" t="s">
        <v>4620</v>
      </c>
      <c r="C2830" s="5">
        <v>73750.0</v>
      </c>
      <c r="D2830" s="8" t="str">
        <f>+38.167807°</f>
        <v>#ERROR!</v>
      </c>
      <c r="E2830" s="7" t="s">
        <v>4621</v>
      </c>
    </row>
    <row r="2831">
      <c r="A2831" s="3" t="s">
        <v>4606</v>
      </c>
      <c r="B2831" s="4" t="s">
        <v>1760</v>
      </c>
      <c r="C2831" s="5">
        <v>4731.0</v>
      </c>
      <c r="D2831" s="8" t="str">
        <f>+38.068988°</f>
        <v>#ERROR!</v>
      </c>
      <c r="E2831" s="7" t="s">
        <v>4622</v>
      </c>
    </row>
    <row r="2832">
      <c r="A2832" s="3" t="s">
        <v>4606</v>
      </c>
      <c r="B2832" s="4" t="s">
        <v>3716</v>
      </c>
      <c r="C2832" s="5">
        <v>68676.0</v>
      </c>
      <c r="D2832" s="8" t="str">
        <f>+37.312408°</f>
        <v>#ERROR!</v>
      </c>
      <c r="E2832" s="7" t="s">
        <v>4623</v>
      </c>
    </row>
    <row r="2833">
      <c r="A2833" s="3" t="s">
        <v>4606</v>
      </c>
      <c r="B2833" s="4" t="s">
        <v>4624</v>
      </c>
      <c r="C2833" s="5">
        <v>6824.0</v>
      </c>
      <c r="D2833" s="8" t="str">
        <f>+37.130612°</f>
        <v>#ERROR!</v>
      </c>
      <c r="E2833" s="7" t="s">
        <v>4625</v>
      </c>
    </row>
    <row r="2834">
      <c r="A2834" s="3" t="s">
        <v>4606</v>
      </c>
      <c r="B2834" s="4" t="s">
        <v>4626</v>
      </c>
      <c r="C2834" s="5">
        <v>33148.0</v>
      </c>
      <c r="D2834" s="8" t="str">
        <f>+37.553193°</f>
        <v>#ERROR!</v>
      </c>
      <c r="E2834" s="7" t="s">
        <v>4627</v>
      </c>
    </row>
    <row r="2835">
      <c r="A2835" s="3" t="s">
        <v>4606</v>
      </c>
      <c r="B2835" s="4" t="s">
        <v>3180</v>
      </c>
      <c r="C2835" s="5">
        <v>17434.0</v>
      </c>
      <c r="D2835" s="8" t="str">
        <f>+36.764531°</f>
        <v>#ERROR!</v>
      </c>
      <c r="E2835" s="7" t="s">
        <v>4628</v>
      </c>
    </row>
    <row r="2836">
      <c r="A2836" s="3" t="s">
        <v>4606</v>
      </c>
      <c r="B2836" s="4" t="s">
        <v>1450</v>
      </c>
      <c r="C2836" s="5">
        <v>24098.0</v>
      </c>
      <c r="D2836" s="8" t="str">
        <f>+37.268120°</f>
        <v>#ERROR!</v>
      </c>
      <c r="E2836" s="7" t="s">
        <v>4629</v>
      </c>
    </row>
    <row r="2837">
      <c r="A2837" s="3" t="s">
        <v>4606</v>
      </c>
      <c r="B2837" s="4" t="s">
        <v>4630</v>
      </c>
      <c r="C2837" s="5">
        <v>17146.0</v>
      </c>
      <c r="D2837" s="8" t="str">
        <f>+37.573928°</f>
        <v>#ERROR!</v>
      </c>
      <c r="E2837" s="7" t="s">
        <v>4631</v>
      </c>
    </row>
    <row r="2838">
      <c r="A2838" s="3" t="s">
        <v>4606</v>
      </c>
      <c r="B2838" s="4" t="s">
        <v>1783</v>
      </c>
      <c r="C2838" s="5">
        <v>54842.0</v>
      </c>
      <c r="D2838" s="8" t="str">
        <f>+37.210151°</f>
        <v>#ERROR!</v>
      </c>
      <c r="E2838" s="7" t="s">
        <v>4632</v>
      </c>
    </row>
    <row r="2839">
      <c r="A2839" s="3" t="s">
        <v>4606</v>
      </c>
      <c r="B2839" s="4" t="s">
        <v>2076</v>
      </c>
      <c r="C2839" s="5">
        <v>28545.0</v>
      </c>
      <c r="D2839" s="8" t="str">
        <f>+38.030319°</f>
        <v>#ERROR!</v>
      </c>
      <c r="E2839" s="7" t="s">
        <v>4633</v>
      </c>
    </row>
    <row r="2840">
      <c r="A2840" s="3" t="s">
        <v>4606</v>
      </c>
      <c r="B2840" s="4" t="s">
        <v>287</v>
      </c>
      <c r="C2840" s="5">
        <v>30042.0</v>
      </c>
      <c r="D2840" s="8" t="str">
        <f>+36.732426°</f>
        <v>#ERROR!</v>
      </c>
      <c r="E2840" s="7" t="s">
        <v>4634</v>
      </c>
    </row>
    <row r="2841">
      <c r="A2841" s="3" t="s">
        <v>4606</v>
      </c>
      <c r="B2841" s="4" t="s">
        <v>4635</v>
      </c>
      <c r="C2841" s="5">
        <v>7256.0</v>
      </c>
      <c r="D2841" s="8" t="str">
        <f>+37.361048°</f>
        <v>#ERROR!</v>
      </c>
      <c r="E2841" s="7" t="s">
        <v>4636</v>
      </c>
    </row>
    <row r="2842">
      <c r="A2842" s="3" t="s">
        <v>4606</v>
      </c>
      <c r="B2842" s="4" t="s">
        <v>682</v>
      </c>
      <c r="C2842" s="5">
        <v>12586.0</v>
      </c>
      <c r="D2842" s="8" t="str">
        <f>+37.014091°</f>
        <v>#ERROR!</v>
      </c>
      <c r="E2842" s="7" t="s">
        <v>4637</v>
      </c>
    </row>
    <row r="2843">
      <c r="A2843" s="3" t="s">
        <v>4606</v>
      </c>
      <c r="B2843" s="4" t="s">
        <v>3840</v>
      </c>
      <c r="C2843" s="5">
        <v>316236.0</v>
      </c>
      <c r="D2843" s="8" t="str">
        <f>+37.378434°</f>
        <v>#ERROR!</v>
      </c>
      <c r="E2843" s="7" t="s">
        <v>4638</v>
      </c>
    </row>
    <row r="2844">
      <c r="A2844" s="3" t="s">
        <v>4606</v>
      </c>
      <c r="B2844" s="4" t="s">
        <v>39</v>
      </c>
      <c r="C2844" s="5">
        <v>14034.0</v>
      </c>
      <c r="D2844" s="8" t="str">
        <f>+39.115931°</f>
        <v>#ERROR!</v>
      </c>
      <c r="E2844" s="7" t="s">
        <v>4639</v>
      </c>
    </row>
    <row r="2845">
      <c r="A2845" s="3" t="s">
        <v>4606</v>
      </c>
      <c r="B2845" s="4" t="s">
        <v>3563</v>
      </c>
      <c r="C2845" s="5">
        <v>5190.0</v>
      </c>
      <c r="D2845" s="8" t="str">
        <f>+37.473129°</f>
        <v>#ERROR!</v>
      </c>
      <c r="E2845" s="7" t="s">
        <v>4640</v>
      </c>
    </row>
    <row r="2846">
      <c r="A2846" s="3" t="s">
        <v>4606</v>
      </c>
      <c r="B2846" s="4" t="s">
        <v>4641</v>
      </c>
      <c r="C2846" s="5">
        <v>46689.0</v>
      </c>
      <c r="D2846" s="8" t="str">
        <f>+38.485930°</f>
        <v>#ERROR!</v>
      </c>
      <c r="E2846" s="7" t="s">
        <v>4642</v>
      </c>
    </row>
    <row r="2847">
      <c r="A2847" s="3" t="s">
        <v>4606</v>
      </c>
      <c r="B2847" s="4" t="s">
        <v>1170</v>
      </c>
      <c r="C2847" s="5">
        <v>10052.0</v>
      </c>
      <c r="D2847" s="8" t="str">
        <f>+37.520189°</f>
        <v>#ERROR!</v>
      </c>
      <c r="E2847" s="7" t="s">
        <v>4643</v>
      </c>
    </row>
    <row r="2848">
      <c r="A2848" s="3" t="s">
        <v>4606</v>
      </c>
      <c r="B2848" s="4" t="s">
        <v>4644</v>
      </c>
      <c r="C2848" s="5">
        <v>15903.0</v>
      </c>
      <c r="D2848" s="8" t="str">
        <f>+37.137081°</f>
        <v>#ERROR!</v>
      </c>
      <c r="E2848" s="7" t="s">
        <v>4645</v>
      </c>
    </row>
    <row r="2849">
      <c r="A2849" s="3" t="s">
        <v>4606</v>
      </c>
      <c r="B2849" s="4" t="s">
        <v>4646</v>
      </c>
      <c r="C2849" s="5">
        <v>28001.0</v>
      </c>
      <c r="D2849" s="8" t="str">
        <f>+37.073498°</f>
        <v>#ERROR!</v>
      </c>
      <c r="E2849" s="7" t="s">
        <v>4647</v>
      </c>
    </row>
    <row r="2850">
      <c r="A2850" s="3" t="s">
        <v>4606</v>
      </c>
      <c r="B2850" s="4" t="s">
        <v>2118</v>
      </c>
      <c r="C2850" s="5">
        <v>11151.0</v>
      </c>
      <c r="D2850" s="8" t="str">
        <f>+37.939480°</f>
        <v>#ERROR!</v>
      </c>
      <c r="E2850" s="7" t="s">
        <v>4648</v>
      </c>
    </row>
    <row r="2851">
      <c r="A2851" s="3" t="s">
        <v>4606</v>
      </c>
      <c r="B2851" s="4" t="s">
        <v>4649</v>
      </c>
      <c r="C2851" s="5">
        <v>1081726.0</v>
      </c>
      <c r="D2851" s="8" t="str">
        <f>+38.833743°</f>
        <v>#ERROR!</v>
      </c>
      <c r="E2851" s="7" t="s">
        <v>4650</v>
      </c>
    </row>
    <row r="2852">
      <c r="A2852" s="3" t="s">
        <v>4606</v>
      </c>
      <c r="B2852" s="4" t="s">
        <v>4651</v>
      </c>
      <c r="C2852" s="5">
        <v>65203.0</v>
      </c>
      <c r="D2852" s="8" t="str">
        <f>+38.744103°</f>
        <v>#ERROR!</v>
      </c>
      <c r="E2852" s="7" t="s">
        <v>4652</v>
      </c>
    </row>
    <row r="2853">
      <c r="A2853" s="3" t="s">
        <v>4606</v>
      </c>
      <c r="B2853" s="4" t="s">
        <v>884</v>
      </c>
      <c r="C2853" s="5">
        <v>15279.0</v>
      </c>
      <c r="D2853" s="8" t="str">
        <f>+36.931438°</f>
        <v>#ERROR!</v>
      </c>
      <c r="E2853" s="7" t="s">
        <v>4653</v>
      </c>
    </row>
    <row r="2854">
      <c r="A2854" s="3" t="s">
        <v>4606</v>
      </c>
      <c r="B2854" s="4" t="s">
        <v>4654</v>
      </c>
      <c r="C2854" s="5">
        <v>25691.0</v>
      </c>
      <c r="D2854" s="8" t="str">
        <f>+37.830606°</f>
        <v>#ERROR!</v>
      </c>
      <c r="E2854" s="7" t="s">
        <v>4655</v>
      </c>
    </row>
    <row r="2855">
      <c r="A2855" s="3" t="s">
        <v>4606</v>
      </c>
      <c r="B2855" s="4" t="s">
        <v>90</v>
      </c>
      <c r="C2855" s="5">
        <v>56159.0</v>
      </c>
      <c r="D2855" s="8" t="str">
        <f>+36.992350°</f>
        <v>#ERROR!</v>
      </c>
      <c r="E2855" s="7" t="s">
        <v>4656</v>
      </c>
    </row>
    <row r="2856">
      <c r="A2856" s="3" t="s">
        <v>4606</v>
      </c>
      <c r="B2856" s="4" t="s">
        <v>2085</v>
      </c>
      <c r="C2856" s="5">
        <v>78305.0</v>
      </c>
      <c r="D2856" s="8" t="str">
        <f>+39.203637°</f>
        <v>#ERROR!</v>
      </c>
      <c r="E2856" s="7" t="s">
        <v>4657</v>
      </c>
    </row>
    <row r="2857">
      <c r="A2857" s="3" t="s">
        <v>4606</v>
      </c>
      <c r="B2857" s="4" t="s">
        <v>4036</v>
      </c>
      <c r="C2857" s="5">
        <v>17286.0</v>
      </c>
      <c r="D2857" s="8" t="str">
        <f>+37.311930°</f>
        <v>#ERROR!</v>
      </c>
      <c r="E2857" s="7" t="s">
        <v>4658</v>
      </c>
    </row>
    <row r="2858">
      <c r="A2858" s="3" t="s">
        <v>4606</v>
      </c>
      <c r="B2858" s="4" t="s">
        <v>2988</v>
      </c>
      <c r="C2858" s="5">
        <v>36858.0</v>
      </c>
      <c r="D2858" s="8" t="str">
        <f>+37.403541°</f>
        <v>#ERROR!</v>
      </c>
      <c r="E2858" s="7" t="s">
        <v>4659</v>
      </c>
    </row>
    <row r="2859">
      <c r="A2859" s="3" t="s">
        <v>4606</v>
      </c>
      <c r="B2859" s="4" t="s">
        <v>4660</v>
      </c>
      <c r="C2859" s="5">
        <v>21717.0</v>
      </c>
      <c r="D2859" s="8" t="str">
        <f>+37.724166°</f>
        <v>#ERROR!</v>
      </c>
      <c r="E2859" s="7" t="s">
        <v>4661</v>
      </c>
    </row>
    <row r="2860">
      <c r="A2860" s="3" t="s">
        <v>4606</v>
      </c>
      <c r="B2860" s="4" t="s">
        <v>1817</v>
      </c>
      <c r="C2860" s="5">
        <v>15533.0</v>
      </c>
      <c r="D2860" s="8" t="str">
        <f>+36.656303°</f>
        <v>#ERROR!</v>
      </c>
      <c r="E2860" s="7" t="s">
        <v>4662</v>
      </c>
    </row>
    <row r="2861">
      <c r="A2861" s="3" t="s">
        <v>4606</v>
      </c>
      <c r="B2861" s="4" t="s">
        <v>96</v>
      </c>
      <c r="C2861" s="5">
        <v>18403.0</v>
      </c>
      <c r="D2861" s="8" t="str">
        <f>+38.297981°</f>
        <v>#ERROR!</v>
      </c>
      <c r="E2861" s="7" t="s">
        <v>4663</v>
      </c>
    </row>
    <row r="2862">
      <c r="A2862" s="3" t="s">
        <v>4606</v>
      </c>
      <c r="B2862" s="4" t="s">
        <v>4664</v>
      </c>
      <c r="C2862" s="5">
        <v>12243.0</v>
      </c>
      <c r="D2862" s="8" t="str">
        <f>+36.680225°</f>
        <v>#ERROR!</v>
      </c>
      <c r="E2862" s="7" t="s">
        <v>4665</v>
      </c>
    </row>
    <row r="2863">
      <c r="A2863" s="3" t="s">
        <v>4606</v>
      </c>
      <c r="B2863" s="4" t="s">
        <v>3232</v>
      </c>
      <c r="C2863" s="5">
        <v>36241.0</v>
      </c>
      <c r="D2863" s="8" t="str">
        <f>+36.766461°</f>
        <v>#ERROR!</v>
      </c>
      <c r="E2863" s="7" t="s">
        <v>4666</v>
      </c>
    </row>
    <row r="2864">
      <c r="A2864" s="3" t="s">
        <v>4606</v>
      </c>
      <c r="B2864" s="4" t="s">
        <v>4667</v>
      </c>
      <c r="C2864" s="5">
        <v>99863.0</v>
      </c>
      <c r="D2864" s="8" t="str">
        <f>+37.760166°</f>
        <v>#ERROR!</v>
      </c>
      <c r="E2864" s="7" t="s">
        <v>4668</v>
      </c>
    </row>
    <row r="2865">
      <c r="A2865" s="3" t="s">
        <v>4606</v>
      </c>
      <c r="B2865" s="4" t="s">
        <v>4669</v>
      </c>
      <c r="C2865" s="5">
        <v>306935.0</v>
      </c>
      <c r="D2865" s="8" t="str">
        <f>+37.437521°</f>
        <v>#ERROR!</v>
      </c>
      <c r="E2865" s="7" t="s">
        <v>4670</v>
      </c>
    </row>
    <row r="2866">
      <c r="A2866" s="3" t="s">
        <v>4606</v>
      </c>
      <c r="B2866" s="4" t="s">
        <v>102</v>
      </c>
      <c r="C2866" s="5">
        <v>54151.0</v>
      </c>
      <c r="D2866" s="8" t="str">
        <f>+36.620593°</f>
        <v>#ERROR!</v>
      </c>
      <c r="E2866" s="7" t="s">
        <v>4671</v>
      </c>
    </row>
    <row r="2867">
      <c r="A2867" s="3" t="s">
        <v>4606</v>
      </c>
      <c r="B2867" s="4" t="s">
        <v>3463</v>
      </c>
      <c r="C2867" s="5">
        <v>2321.0</v>
      </c>
      <c r="D2867" s="8" t="str">
        <f>+38.356672°</f>
        <v>#ERROR!</v>
      </c>
      <c r="E2867" s="7" t="s">
        <v>4672</v>
      </c>
    </row>
    <row r="2868">
      <c r="A2868" s="3" t="s">
        <v>4606</v>
      </c>
      <c r="B2868" s="4" t="s">
        <v>4673</v>
      </c>
      <c r="C2868" s="5">
        <v>35270.0</v>
      </c>
      <c r="D2868" s="8" t="str">
        <f>+36.901418°</f>
        <v>#ERROR!</v>
      </c>
      <c r="E2868" s="7" t="s">
        <v>4674</v>
      </c>
    </row>
    <row r="2869">
      <c r="A2869" s="3" t="s">
        <v>4606</v>
      </c>
      <c r="B2869" s="4" t="s">
        <v>4675</v>
      </c>
      <c r="C2869" s="5">
        <v>67009.0</v>
      </c>
      <c r="D2869" s="8" t="str">
        <f>+37.324427°</f>
        <v>#ERROR!</v>
      </c>
      <c r="E2869" s="7" t="s">
        <v>4676</v>
      </c>
    </row>
    <row r="2870">
      <c r="A2870" s="3" t="s">
        <v>4606</v>
      </c>
      <c r="B2870" s="4" t="s">
        <v>4677</v>
      </c>
      <c r="C2870" s="5">
        <v>6945.0</v>
      </c>
      <c r="D2870" s="8" t="str">
        <f>+37.720995°</f>
        <v>#ERROR!</v>
      </c>
      <c r="E2870" s="7" t="s">
        <v>4678</v>
      </c>
    </row>
    <row r="2871">
      <c r="A2871" s="3" t="s">
        <v>4606</v>
      </c>
      <c r="B2871" s="4" t="s">
        <v>4679</v>
      </c>
      <c r="C2871" s="5">
        <v>23584.0</v>
      </c>
      <c r="D2871" s="8" t="str">
        <f>+38.277179°</f>
        <v>#ERROR!</v>
      </c>
      <c r="E2871" s="7" t="s">
        <v>4680</v>
      </c>
    </row>
    <row r="2872">
      <c r="A2872" s="3" t="s">
        <v>4606</v>
      </c>
      <c r="B2872" s="4" t="s">
        <v>4681</v>
      </c>
      <c r="C2872" s="5">
        <v>15935.0</v>
      </c>
      <c r="D2872" s="8" t="str">
        <f>+37.708260°</f>
        <v>#ERROR!</v>
      </c>
      <c r="E2872" s="7" t="s">
        <v>4682</v>
      </c>
    </row>
    <row r="2873">
      <c r="A2873" s="3" t="s">
        <v>4606</v>
      </c>
      <c r="B2873" s="4" t="s">
        <v>2875</v>
      </c>
      <c r="C2873" s="5">
        <v>11391.0</v>
      </c>
      <c r="D2873" s="8" t="str">
        <f>+37.703831°</f>
        <v>#ERROR!</v>
      </c>
      <c r="E2873" s="7" t="s">
        <v>4683</v>
      </c>
    </row>
    <row r="2874">
      <c r="A2874" s="3" t="s">
        <v>4606</v>
      </c>
      <c r="B2874" s="4" t="s">
        <v>123</v>
      </c>
      <c r="C2874" s="5">
        <v>25587.0</v>
      </c>
      <c r="D2874" s="8" t="str">
        <f>+36.702162°</f>
        <v>#ERROR!</v>
      </c>
      <c r="E2874" s="7" t="s">
        <v>4684</v>
      </c>
    </row>
    <row r="2875">
      <c r="A2875" s="3" t="s">
        <v>4606</v>
      </c>
      <c r="B2875" s="4" t="s">
        <v>4685</v>
      </c>
      <c r="C2875" s="5">
        <v>312311.0</v>
      </c>
      <c r="D2875" s="8" t="str">
        <f>+39.081130°</f>
        <v>#ERROR!</v>
      </c>
      <c r="E2875" s="7" t="s">
        <v>4686</v>
      </c>
    </row>
    <row r="2876">
      <c r="A2876" s="3" t="s">
        <v>4606</v>
      </c>
      <c r="B2876" s="4" t="s">
        <v>1514</v>
      </c>
      <c r="C2876" s="5">
        <v>33153.0</v>
      </c>
      <c r="D2876" s="8" t="str">
        <f>+37.971681°</f>
        <v>#ERROR!</v>
      </c>
      <c r="E2876" s="7" t="s">
        <v>4687</v>
      </c>
    </row>
    <row r="2877">
      <c r="A2877" s="3" t="s">
        <v>4606</v>
      </c>
      <c r="B2877" s="4" t="s">
        <v>4688</v>
      </c>
      <c r="C2877" s="5">
        <v>12914.0</v>
      </c>
      <c r="D2877" s="8" t="str">
        <f>+36.945757°</f>
        <v>#ERROR!</v>
      </c>
      <c r="E2877" s="7" t="s">
        <v>4689</v>
      </c>
    </row>
    <row r="2878">
      <c r="A2878" s="3" t="s">
        <v>4606</v>
      </c>
      <c r="B2878" s="4" t="s">
        <v>135</v>
      </c>
      <c r="C2878" s="5">
        <v>13308.0</v>
      </c>
      <c r="D2878" s="8" t="str">
        <f>+38.412059°</f>
        <v>#ERROR!</v>
      </c>
      <c r="E2878" s="7" t="s">
        <v>4690</v>
      </c>
    </row>
    <row r="2879">
      <c r="A2879" s="3" t="s">
        <v>4606</v>
      </c>
      <c r="B2879" s="4" t="s">
        <v>4691</v>
      </c>
      <c r="C2879" s="5">
        <v>8978.0</v>
      </c>
      <c r="D2879" s="8" t="str">
        <f>+37.425348°</f>
        <v>#ERROR!</v>
      </c>
      <c r="E2879" s="7" t="s">
        <v>4692</v>
      </c>
    </row>
    <row r="2880">
      <c r="A2880" s="3" t="s">
        <v>4606</v>
      </c>
      <c r="B2880" s="4" t="s">
        <v>3260</v>
      </c>
      <c r="C2880" s="5">
        <v>32727.0</v>
      </c>
      <c r="D2880" s="8" t="str">
        <f>+36.687256°</f>
        <v>#ERROR!</v>
      </c>
      <c r="E2880" s="7" t="s">
        <v>4693</v>
      </c>
    </row>
    <row r="2881">
      <c r="A2881" s="3" t="s">
        <v>4606</v>
      </c>
      <c r="B2881" s="4" t="s">
        <v>2125</v>
      </c>
      <c r="C2881" s="5">
        <v>10959.0</v>
      </c>
      <c r="D2881" s="8" t="str">
        <f>+37.606828°</f>
        <v>#ERROR!</v>
      </c>
      <c r="E2881" s="7" t="s">
        <v>4694</v>
      </c>
    </row>
    <row r="2882">
      <c r="A2882" s="3" t="s">
        <v>4606</v>
      </c>
      <c r="B2882" s="4" t="s">
        <v>149</v>
      </c>
      <c r="C2882" s="5">
        <v>94392.0</v>
      </c>
      <c r="D2882" s="8" t="str">
        <f>+37.174885°</f>
        <v>#ERROR!</v>
      </c>
      <c r="E2882" s="7" t="s">
        <v>4695</v>
      </c>
    </row>
    <row r="2883">
      <c r="A2883" s="3" t="s">
        <v>4606</v>
      </c>
      <c r="B2883" s="4" t="s">
        <v>1883</v>
      </c>
      <c r="C2883" s="5">
        <v>15020.0</v>
      </c>
      <c r="D2883" s="8" t="str">
        <f>+37.790016°</f>
        <v>#ERROR!</v>
      </c>
      <c r="E2883" s="7" t="s">
        <v>4696</v>
      </c>
    </row>
    <row r="2884">
      <c r="A2884" s="3" t="s">
        <v>4606</v>
      </c>
      <c r="B2884" s="4" t="s">
        <v>4697</v>
      </c>
      <c r="C2884" s="5">
        <v>18429.0</v>
      </c>
      <c r="D2884" s="8" t="str">
        <f>+37.498974°</f>
        <v>#ERROR!</v>
      </c>
      <c r="E2884" s="7" t="s">
        <v>4698</v>
      </c>
    </row>
    <row r="2885">
      <c r="A2885" s="3" t="s">
        <v>4606</v>
      </c>
      <c r="B2885" s="4" t="s">
        <v>3270</v>
      </c>
      <c r="C2885" s="5">
        <v>12389.0</v>
      </c>
      <c r="D2885" s="8" t="str">
        <f>+37.302629°</f>
        <v>#ERROR!</v>
      </c>
      <c r="E2885" s="7" t="s">
        <v>4699</v>
      </c>
    </row>
    <row r="2886">
      <c r="A2886" s="3" t="s">
        <v>4606</v>
      </c>
      <c r="B2886" s="4" t="s">
        <v>3782</v>
      </c>
      <c r="C2886" s="5">
        <v>12330.0</v>
      </c>
      <c r="D2886" s="8" t="str">
        <f>+37.856974°</f>
        <v>#ERROR!</v>
      </c>
      <c r="E2886" s="7" t="s">
        <v>4700</v>
      </c>
    </row>
    <row r="2887">
      <c r="A2887" s="3" t="s">
        <v>4606</v>
      </c>
      <c r="B2887" s="4" t="s">
        <v>4701</v>
      </c>
      <c r="C2887" s="5">
        <v>15853.0</v>
      </c>
      <c r="D2887" s="8" t="str">
        <f>+37.143696°</f>
        <v>#ERROR!</v>
      </c>
      <c r="E2887" s="7" t="s">
        <v>4702</v>
      </c>
    </row>
    <row r="2888">
      <c r="A2888" s="3" t="s">
        <v>4606</v>
      </c>
      <c r="B2888" s="4" t="s">
        <v>464</v>
      </c>
      <c r="C2888" s="5">
        <v>33481.0</v>
      </c>
      <c r="D2888" s="8" t="str">
        <f>+38.250439°</f>
        <v>#ERROR!</v>
      </c>
      <c r="E2888" s="7" t="s">
        <v>4703</v>
      </c>
    </row>
    <row r="2889">
      <c r="A2889" s="3" t="s">
        <v>4606</v>
      </c>
      <c r="B2889" s="4" t="s">
        <v>1537</v>
      </c>
      <c r="C2889" s="5">
        <v>24042.0</v>
      </c>
      <c r="D2889" s="8" t="str">
        <f>+38.623751°</f>
        <v>#ERROR!</v>
      </c>
      <c r="E2889" s="7" t="s">
        <v>4704</v>
      </c>
    </row>
    <row r="2890">
      <c r="A2890" s="3" t="s">
        <v>4606</v>
      </c>
      <c r="B2890" s="4" t="s">
        <v>4705</v>
      </c>
      <c r="C2890" s="5">
        <v>18490.0</v>
      </c>
      <c r="D2890" s="8" t="str">
        <f>+36.667327°</f>
        <v>#ERROR!</v>
      </c>
      <c r="E2890" s="7" t="s">
        <v>4706</v>
      </c>
    </row>
    <row r="2891">
      <c r="A2891" s="3" t="s">
        <v>4606</v>
      </c>
      <c r="B2891" s="4" t="s">
        <v>4707</v>
      </c>
      <c r="C2891" s="5">
        <v>63506.0</v>
      </c>
      <c r="D2891" s="8" t="str">
        <f>+36.821721°</f>
        <v>#ERROR!</v>
      </c>
      <c r="E2891" s="7" t="s">
        <v>4708</v>
      </c>
    </row>
    <row r="2892">
      <c r="A2892" s="3" t="s">
        <v>4606</v>
      </c>
      <c r="B2892" s="4" t="s">
        <v>4709</v>
      </c>
      <c r="C2892" s="5">
        <v>28046.0</v>
      </c>
      <c r="D2892" s="8" t="str">
        <f>+37.549404°</f>
        <v>#ERROR!</v>
      </c>
      <c r="E2892" s="7" t="s">
        <v>4710</v>
      </c>
    </row>
    <row r="2893">
      <c r="A2893" s="3" t="s">
        <v>4606</v>
      </c>
      <c r="B2893" s="4" t="s">
        <v>4711</v>
      </c>
      <c r="C2893" s="5">
        <v>23368.0</v>
      </c>
      <c r="D2893" s="8" t="str">
        <f>+37.224881°</f>
        <v>#ERROR!</v>
      </c>
      <c r="E2893" s="7" t="s">
        <v>4712</v>
      </c>
    </row>
    <row r="2894">
      <c r="A2894" s="3" t="s">
        <v>4606</v>
      </c>
      <c r="B2894" s="4" t="s">
        <v>4713</v>
      </c>
      <c r="C2894" s="5">
        <v>35725.0</v>
      </c>
      <c r="D2894" s="8" t="str">
        <f>+37.187326°</f>
        <v>#ERROR!</v>
      </c>
      <c r="E2894" s="7" t="s">
        <v>4714</v>
      </c>
    </row>
    <row r="2895">
      <c r="A2895" s="3" t="s">
        <v>4606</v>
      </c>
      <c r="B2895" s="4" t="s">
        <v>4715</v>
      </c>
      <c r="C2895" s="5">
        <v>402002.0</v>
      </c>
      <c r="D2895" s="8" t="str">
        <f>+38.702332°</f>
        <v>#ERROR!</v>
      </c>
      <c r="E2895" s="7" t="s">
        <v>4716</v>
      </c>
    </row>
    <row r="2896">
      <c r="A2896" s="3" t="s">
        <v>4606</v>
      </c>
      <c r="B2896" s="4" t="s">
        <v>376</v>
      </c>
      <c r="C2896" s="5">
        <v>34872.0</v>
      </c>
      <c r="D2896" s="8" t="str">
        <f>+37.063385°</f>
        <v>#ERROR!</v>
      </c>
      <c r="E2896" s="7" t="s">
        <v>4717</v>
      </c>
    </row>
    <row r="2897">
      <c r="A2897" s="3" t="s">
        <v>4606</v>
      </c>
      <c r="B2897" s="4" t="s">
        <v>4718</v>
      </c>
      <c r="C2897" s="5">
        <v>7373.0</v>
      </c>
      <c r="D2897" s="8" t="str">
        <f>+38.684522°</f>
        <v>#ERROR!</v>
      </c>
      <c r="E2897" s="7" t="s">
        <v>4719</v>
      </c>
    </row>
    <row r="2898">
      <c r="A2898" s="3" t="s">
        <v>4606</v>
      </c>
      <c r="B2898" s="4" t="s">
        <v>985</v>
      </c>
      <c r="C2898" s="5">
        <v>9254.0</v>
      </c>
      <c r="D2898" s="8" t="str">
        <f>+37.942894°</f>
        <v>#ERROR!</v>
      </c>
      <c r="E2898" s="7" t="s">
        <v>4720</v>
      </c>
    </row>
    <row r="2899">
      <c r="A2899" s="3" t="s">
        <v>4606</v>
      </c>
      <c r="B2899" s="4" t="s">
        <v>4721</v>
      </c>
      <c r="C2899" s="5">
        <v>92376.0</v>
      </c>
      <c r="D2899" s="8" t="str">
        <f>+37.331077°</f>
        <v>#ERROR!</v>
      </c>
      <c r="E2899" s="7" t="s">
        <v>4722</v>
      </c>
    </row>
    <row r="2900">
      <c r="A2900" s="3" t="s">
        <v>4606</v>
      </c>
      <c r="B2900" s="4" t="s">
        <v>4723</v>
      </c>
      <c r="C2900" s="5">
        <v>22307.0</v>
      </c>
      <c r="D2900" s="8" t="str">
        <f>+37.814517°</f>
        <v>#ERROR!</v>
      </c>
      <c r="E2900" s="7" t="s">
        <v>4724</v>
      </c>
    </row>
    <row r="2901">
      <c r="A2901" s="3" t="s">
        <v>4606</v>
      </c>
      <c r="B2901" s="4" t="s">
        <v>2971</v>
      </c>
      <c r="C2901" s="5">
        <v>76314.0</v>
      </c>
      <c r="D2901" s="8" t="str">
        <f>+38.511257°</f>
        <v>#ERROR!</v>
      </c>
      <c r="E2901" s="7" t="s">
        <v>4725</v>
      </c>
    </row>
    <row r="2902">
      <c r="A2902" s="3" t="s">
        <v>4606</v>
      </c>
      <c r="B2902" s="4" t="s">
        <v>161</v>
      </c>
      <c r="C2902" s="5">
        <v>28897.0</v>
      </c>
      <c r="D2902" s="8" t="str">
        <f>+36.933420°</f>
        <v>#ERROR!</v>
      </c>
      <c r="E2902" s="7" t="s">
        <v>4726</v>
      </c>
    </row>
    <row r="2903">
      <c r="A2903" s="3" t="s">
        <v>4606</v>
      </c>
      <c r="B2903" s="4" t="s">
        <v>383</v>
      </c>
      <c r="C2903" s="5">
        <v>23177.0</v>
      </c>
      <c r="D2903" s="8" t="str">
        <f>+36.712778°</f>
        <v>#ERROR!</v>
      </c>
      <c r="E2903" s="7" t="s">
        <v>4727</v>
      </c>
    </row>
    <row r="2904">
      <c r="A2904" s="3" t="s">
        <v>4606</v>
      </c>
      <c r="B2904" s="4" t="s">
        <v>4728</v>
      </c>
      <c r="C2904" s="5">
        <v>41993.0</v>
      </c>
      <c r="D2904" s="8" t="str">
        <f>+38.856204°</f>
        <v>#ERROR!</v>
      </c>
      <c r="E2904" s="7" t="s">
        <v>4729</v>
      </c>
    </row>
    <row r="2905">
      <c r="A2905" s="3" t="s">
        <v>4606</v>
      </c>
      <c r="B2905" s="4" t="s">
        <v>4730</v>
      </c>
      <c r="C2905" s="5">
        <v>32208.0</v>
      </c>
      <c r="D2905" s="8" t="str">
        <f>+36.842318°</f>
        <v>#ERROR!</v>
      </c>
      <c r="E2905" s="7" t="s">
        <v>4731</v>
      </c>
    </row>
    <row r="2906">
      <c r="A2906" s="3" t="s">
        <v>4606</v>
      </c>
      <c r="B2906" s="4" t="s">
        <v>4732</v>
      </c>
      <c r="C2906" s="5">
        <v>18570.0</v>
      </c>
      <c r="D2906" s="8" t="str">
        <f>+36.720173°</f>
        <v>#ERROR!</v>
      </c>
      <c r="E2906" s="7" t="s">
        <v>4733</v>
      </c>
    </row>
    <row r="2907">
      <c r="A2907" s="3" t="s">
        <v>4606</v>
      </c>
      <c r="B2907" s="4" t="s">
        <v>4734</v>
      </c>
      <c r="C2907" s="5">
        <v>122397.0</v>
      </c>
      <c r="D2907" s="8" t="str">
        <f>+38.182311°</f>
        <v>#ERROR!</v>
      </c>
      <c r="E2907" s="7" t="s">
        <v>4735</v>
      </c>
    </row>
    <row r="2908">
      <c r="A2908" s="3" t="s">
        <v>4606</v>
      </c>
      <c r="B2908" s="4" t="s">
        <v>1728</v>
      </c>
      <c r="C2908" s="5">
        <v>128961.0</v>
      </c>
      <c r="D2908" s="8" t="str">
        <f>+38.418933°</f>
        <v>#ERROR!</v>
      </c>
      <c r="E2908" s="7" t="s">
        <v>4736</v>
      </c>
    </row>
    <row r="2909">
      <c r="A2909" s="3" t="s">
        <v>4606</v>
      </c>
      <c r="B2909" s="4" t="s">
        <v>3303</v>
      </c>
      <c r="C2909" s="5">
        <v>7058.0</v>
      </c>
      <c r="D2909" s="8" t="str">
        <f>+37.119761°</f>
        <v>#ERROR!</v>
      </c>
      <c r="E2909" s="7" t="s">
        <v>4737</v>
      </c>
    </row>
    <row r="2910">
      <c r="A2910" s="3" t="s">
        <v>4606</v>
      </c>
      <c r="B2910" s="4" t="s">
        <v>663</v>
      </c>
      <c r="C2910" s="5">
        <v>12087.0</v>
      </c>
      <c r="D2910" s="8" t="str">
        <f>+36.926645°</f>
        <v>#ERROR!</v>
      </c>
      <c r="E2910" s="7" t="s">
        <v>4738</v>
      </c>
    </row>
    <row r="2911">
      <c r="A2911" s="3" t="s">
        <v>4606</v>
      </c>
      <c r="B2911" s="4" t="s">
        <v>1279</v>
      </c>
      <c r="C2911" s="5">
        <v>45078.0</v>
      </c>
      <c r="D2911" s="8" t="str">
        <f>+37.125395°</f>
        <v>#ERROR!</v>
      </c>
      <c r="E2911" s="7" t="s">
        <v>4739</v>
      </c>
    </row>
    <row r="2912">
      <c r="A2912" s="3" t="s">
        <v>4606</v>
      </c>
      <c r="B2912" s="4" t="s">
        <v>1035</v>
      </c>
      <c r="C2912" s="5">
        <v>37575.0</v>
      </c>
      <c r="D2912" s="8" t="str">
        <f>+38.908187°</f>
        <v>#ERROR!</v>
      </c>
      <c r="E2912" s="7" t="s">
        <v>4740</v>
      </c>
    </row>
    <row r="2913">
      <c r="A2913" s="3" t="s">
        <v>4606</v>
      </c>
      <c r="B2913" s="4" t="s">
        <v>177</v>
      </c>
      <c r="C2913" s="5">
        <v>54876.0</v>
      </c>
      <c r="D2913" s="8" t="str">
        <f>+36.747813°</f>
        <v>#ERROR!</v>
      </c>
      <c r="E2913" s="7" t="s">
        <v>4741</v>
      </c>
    </row>
    <row r="2914">
      <c r="A2914" s="3" t="s">
        <v>4606</v>
      </c>
      <c r="B2914" s="4" t="s">
        <v>3805</v>
      </c>
      <c r="C2914" s="5">
        <v>17454.0</v>
      </c>
      <c r="D2914" s="8" t="str">
        <f>+38.109191°</f>
        <v>#ERROR!</v>
      </c>
      <c r="E2914" s="7" t="s">
        <v>4742</v>
      </c>
    </row>
    <row r="2915">
      <c r="A2915" s="3" t="s">
        <v>4606</v>
      </c>
      <c r="B2915" s="4" t="s">
        <v>4525</v>
      </c>
      <c r="C2915" s="5">
        <v>41452.0</v>
      </c>
      <c r="D2915" s="8" t="str">
        <f>+36.974561°</f>
        <v>#ERROR!</v>
      </c>
      <c r="E2915" s="7" t="s">
        <v>4743</v>
      </c>
    </row>
    <row r="2916">
      <c r="A2916" s="3" t="s">
        <v>4606</v>
      </c>
      <c r="B2916" s="4" t="s">
        <v>4744</v>
      </c>
      <c r="C2916" s="5">
        <v>29235.0</v>
      </c>
      <c r="D2916" s="8" t="str">
        <f>+36.901471°</f>
        <v>#ERROR!</v>
      </c>
      <c r="E2916" s="7" t="s">
        <v>4745</v>
      </c>
    </row>
    <row r="2917">
      <c r="A2917" s="3" t="s">
        <v>4606</v>
      </c>
      <c r="B2917" s="4" t="s">
        <v>2065</v>
      </c>
      <c r="C2917" s="5">
        <v>65464.0</v>
      </c>
      <c r="D2917" s="8" t="str">
        <f>+37.220914°</f>
        <v>#ERROR!</v>
      </c>
      <c r="E2917" s="7" t="s">
        <v>4746</v>
      </c>
    </row>
    <row r="2918">
      <c r="A2918" s="3" t="s">
        <v>4606</v>
      </c>
      <c r="B2918" s="4" t="s">
        <v>4747</v>
      </c>
      <c r="C2918" s="5">
        <v>139966.0</v>
      </c>
      <c r="D2918" s="8" t="str">
        <f>+38.818343°</f>
        <v>#ERROR!</v>
      </c>
      <c r="E2918" s="7" t="s">
        <v>4748</v>
      </c>
    </row>
    <row r="2919">
      <c r="A2919" s="3" t="s">
        <v>4606</v>
      </c>
      <c r="B2919" s="4" t="s">
        <v>4749</v>
      </c>
      <c r="C2919" s="5">
        <v>6222.0</v>
      </c>
      <c r="D2919" s="8" t="str">
        <f>+37.338156°</f>
        <v>#ERROR!</v>
      </c>
      <c r="E2919" s="7" t="s">
        <v>4750</v>
      </c>
    </row>
    <row r="2920">
      <c r="A2920" s="3" t="s">
        <v>4606</v>
      </c>
      <c r="B2920" s="4" t="s">
        <v>4751</v>
      </c>
      <c r="C2920" s="5">
        <v>17835.0</v>
      </c>
      <c r="D2920" s="8" t="str">
        <f>+36.616954°</f>
        <v>#ERROR!</v>
      </c>
      <c r="E2920" s="7" t="s">
        <v>4752</v>
      </c>
    </row>
    <row r="2921">
      <c r="A2921" s="3" t="s">
        <v>4606</v>
      </c>
      <c r="B2921" s="4" t="s">
        <v>4753</v>
      </c>
      <c r="C2921" s="5">
        <v>6650.0</v>
      </c>
      <c r="D2921" s="8" t="str">
        <f>+37.731663°</f>
        <v>#ERROR!</v>
      </c>
      <c r="E2921" s="7" t="s">
        <v>4754</v>
      </c>
    </row>
    <row r="2922">
      <c r="A2922" s="3" t="s">
        <v>4606</v>
      </c>
      <c r="B2922" s="4" t="s">
        <v>4755</v>
      </c>
      <c r="C2922" s="5">
        <v>43475.0</v>
      </c>
      <c r="D2922" s="8" t="str">
        <f>+38.037658°</f>
        <v>#ERROR!</v>
      </c>
      <c r="E2922" s="7" t="s">
        <v>4756</v>
      </c>
    </row>
    <row r="2923">
      <c r="A2923" s="3" t="s">
        <v>4606</v>
      </c>
      <c r="B2923" s="4" t="s">
        <v>4757</v>
      </c>
      <c r="C2923" s="5">
        <v>222209.0</v>
      </c>
      <c r="D2923" s="8" t="str">
        <f>+36.679376°</f>
        <v>#ERROR!</v>
      </c>
      <c r="E2923" s="7" t="s">
        <v>4758</v>
      </c>
    </row>
    <row r="2924">
      <c r="A2924" s="3" t="s">
        <v>4606</v>
      </c>
      <c r="B2924" s="4" t="s">
        <v>4759</v>
      </c>
      <c r="C2924" s="5">
        <v>17411.0</v>
      </c>
      <c r="D2924" s="8" t="str">
        <f>+37.261685°</f>
        <v>#ERROR!</v>
      </c>
      <c r="E2924" s="7" t="s">
        <v>4760</v>
      </c>
    </row>
    <row r="2925">
      <c r="A2925" s="3" t="s">
        <v>4606</v>
      </c>
      <c r="B2925" s="4" t="s">
        <v>4761</v>
      </c>
      <c r="C2925" s="5">
        <v>5961.0</v>
      </c>
      <c r="D2925" s="8" t="str">
        <f>+37.778143°</f>
        <v>#ERROR!</v>
      </c>
      <c r="E2925" s="7" t="s">
        <v>4762</v>
      </c>
    </row>
    <row r="2926">
      <c r="A2926" s="3" t="s">
        <v>4606</v>
      </c>
      <c r="B2926" s="4" t="s">
        <v>4763</v>
      </c>
      <c r="C2926" s="5">
        <v>43055.0</v>
      </c>
      <c r="D2926" s="8" t="str">
        <f>+36.583334°</f>
        <v>#ERROR!</v>
      </c>
      <c r="E2926" s="7" t="s">
        <v>4764</v>
      </c>
    </row>
    <row r="2927">
      <c r="A2927" s="3" t="s">
        <v>4606</v>
      </c>
      <c r="B2927" s="4" t="s">
        <v>4765</v>
      </c>
      <c r="C2927" s="5">
        <v>5927.0</v>
      </c>
      <c r="D2927" s="8" t="str">
        <f>+36.696182°</f>
        <v>#ERROR!</v>
      </c>
      <c r="E2927" s="7" t="s">
        <v>4766</v>
      </c>
    </row>
    <row r="2928">
      <c r="A2928" s="3" t="s">
        <v>4606</v>
      </c>
      <c r="B2928" s="4" t="s">
        <v>4767</v>
      </c>
      <c r="C2928" s="5">
        <v>22565.0</v>
      </c>
      <c r="D2928" s="8" t="str">
        <f>+38.853183°</f>
        <v>#ERROR!</v>
      </c>
      <c r="E2928" s="7" t="s">
        <v>4768</v>
      </c>
    </row>
    <row r="2929">
      <c r="A2929" s="3" t="s">
        <v>4606</v>
      </c>
      <c r="B2929" s="4" t="s">
        <v>4769</v>
      </c>
      <c r="C2929" s="5">
        <v>12332.0</v>
      </c>
      <c r="D2929" s="8" t="str">
        <f>+38.883787°</f>
        <v>#ERROR!</v>
      </c>
      <c r="E2929" s="7" t="s">
        <v>4770</v>
      </c>
    </row>
    <row r="2930">
      <c r="A2930" s="3" t="s">
        <v>4606</v>
      </c>
      <c r="B2930" s="4" t="s">
        <v>4771</v>
      </c>
      <c r="C2930" s="5">
        <v>8582.0</v>
      </c>
      <c r="D2930" s="8" t="str">
        <f>+36.684014°</f>
        <v>#ERROR!</v>
      </c>
      <c r="E2930" s="7" t="s">
        <v>4772</v>
      </c>
    </row>
    <row r="2931">
      <c r="A2931" s="3" t="s">
        <v>4606</v>
      </c>
      <c r="B2931" s="4" t="s">
        <v>4773</v>
      </c>
      <c r="C2931" s="5">
        <v>24286.0</v>
      </c>
      <c r="D2931" s="8" t="str">
        <f>+38.299272°</f>
        <v>#ERROR!</v>
      </c>
      <c r="E2931" s="7" t="s">
        <v>4774</v>
      </c>
    </row>
    <row r="2932">
      <c r="A2932" s="3" t="s">
        <v>4606</v>
      </c>
      <c r="B2932" s="4" t="s">
        <v>4775</v>
      </c>
      <c r="C2932" s="5">
        <v>7042.0</v>
      </c>
      <c r="D2932" s="8" t="str">
        <f>+36.665640°</f>
        <v>#ERROR!</v>
      </c>
      <c r="E2932" s="7" t="s">
        <v>4776</v>
      </c>
    </row>
    <row r="2933">
      <c r="A2933" s="3" t="s">
        <v>4606</v>
      </c>
      <c r="B2933" s="4" t="s">
        <v>4777</v>
      </c>
      <c r="C2933" s="5">
        <v>137436.0</v>
      </c>
      <c r="D2933" s="8" t="str">
        <f>+37.048030°</f>
        <v>#ERROR!</v>
      </c>
      <c r="E2933" s="7" t="s">
        <v>4778</v>
      </c>
    </row>
    <row r="2934">
      <c r="A2934" s="3" t="s">
        <v>4606</v>
      </c>
      <c r="B2934" s="4" t="s">
        <v>4779</v>
      </c>
      <c r="C2934" s="5">
        <v>48914.0</v>
      </c>
      <c r="D2934" s="8" t="str">
        <f>+38.436013°</f>
        <v>#ERROR!</v>
      </c>
      <c r="E2934" s="7" t="s">
        <v>4780</v>
      </c>
    </row>
    <row r="2935">
      <c r="A2935" s="3" t="s">
        <v>4606</v>
      </c>
      <c r="B2935" s="4" t="s">
        <v>4781</v>
      </c>
      <c r="C2935" s="5">
        <v>22591.0</v>
      </c>
      <c r="D2935" s="8" t="str">
        <f>+37.291010°</f>
        <v>#ERROR!</v>
      </c>
      <c r="E2935" s="7" t="s">
        <v>4782</v>
      </c>
    </row>
    <row r="2936">
      <c r="A2936" s="3" t="s">
        <v>4606</v>
      </c>
      <c r="B2936" s="4" t="s">
        <v>4783</v>
      </c>
      <c r="C2936" s="5">
        <v>7042.0</v>
      </c>
      <c r="D2936" s="8" t="str">
        <f>+37.782332°</f>
        <v>#ERROR!</v>
      </c>
      <c r="E2936" s="7" t="s">
        <v>4784</v>
      </c>
    </row>
    <row r="2937">
      <c r="A2937" s="3" t="s">
        <v>4606</v>
      </c>
      <c r="B2937" s="4" t="s">
        <v>4785</v>
      </c>
      <c r="C2937" s="5">
        <v>75568.0</v>
      </c>
      <c r="D2937" s="8" t="str">
        <f>+37.399016°</f>
        <v>#ERROR!</v>
      </c>
      <c r="E2937" s="7" t="s">
        <v>4786</v>
      </c>
    </row>
    <row r="2938">
      <c r="A2938" s="3" t="s">
        <v>4606</v>
      </c>
      <c r="B2938" s="4" t="s">
        <v>4787</v>
      </c>
      <c r="C2938" s="5">
        <v>37821.0</v>
      </c>
      <c r="D2938" s="8" t="str">
        <f>+38.747561°</f>
        <v>#ERROR!</v>
      </c>
      <c r="E2938" s="7" t="s">
        <v>4788</v>
      </c>
    </row>
    <row r="2939">
      <c r="A2939" s="3" t="s">
        <v>4606</v>
      </c>
      <c r="B2939" s="4" t="s">
        <v>4789</v>
      </c>
      <c r="C2939" s="5">
        <v>14273.0</v>
      </c>
      <c r="D2939" s="8" t="str">
        <f>+38.768991°</f>
        <v>#ERROR!</v>
      </c>
      <c r="E2939" s="7" t="s">
        <v>4790</v>
      </c>
    </row>
    <row r="2940">
      <c r="A2940" s="3" t="s">
        <v>4606</v>
      </c>
      <c r="B2940" s="4" t="s">
        <v>4791</v>
      </c>
      <c r="C2940" s="5">
        <v>13821.0</v>
      </c>
      <c r="D2940" s="8" t="str">
        <f>+36.683527°</f>
        <v>#ERROR!</v>
      </c>
      <c r="E2940" s="7" t="s">
        <v>4792</v>
      </c>
    </row>
    <row r="2941">
      <c r="A2941" s="3" t="s">
        <v>4606</v>
      </c>
      <c r="B2941" s="4" t="s">
        <v>4793</v>
      </c>
      <c r="C2941" s="5">
        <v>180719.0</v>
      </c>
      <c r="D2941" s="8" t="str">
        <f>+37.075978°</f>
        <v>#ERROR!</v>
      </c>
      <c r="E2941" s="7" t="s">
        <v>4794</v>
      </c>
    </row>
    <row r="2942">
      <c r="A2942" s="3" t="s">
        <v>4606</v>
      </c>
      <c r="B2942" s="4" t="s">
        <v>4795</v>
      </c>
      <c r="C2942" s="5">
        <v>242803.0</v>
      </c>
      <c r="D2942" s="8" t="str">
        <f>+36.923015°</f>
        <v>#ERROR!</v>
      </c>
      <c r="E2942" s="7" t="s">
        <v>4796</v>
      </c>
    </row>
    <row r="2943">
      <c r="A2943" s="3" t="s">
        <v>4606</v>
      </c>
      <c r="B2943" s="4" t="s">
        <v>4797</v>
      </c>
      <c r="C2943" s="5">
        <v>3958.0</v>
      </c>
      <c r="D2943" s="8" t="str">
        <f>+36.931549°</f>
        <v>#ERROR!</v>
      </c>
      <c r="E2943" s="7" t="s">
        <v>4798</v>
      </c>
    </row>
    <row r="2944">
      <c r="A2944" s="3" t="s">
        <v>4606</v>
      </c>
      <c r="B2944" s="4" t="s">
        <v>4799</v>
      </c>
      <c r="C2944" s="5">
        <v>32420.0</v>
      </c>
      <c r="D2944" s="8" t="str">
        <f>+37.204730°</f>
        <v>#ERROR!</v>
      </c>
      <c r="E2944" s="7" t="s">
        <v>4800</v>
      </c>
    </row>
    <row r="2945">
      <c r="A2945" s="3" t="s">
        <v>4606</v>
      </c>
      <c r="B2945" s="4" t="s">
        <v>4801</v>
      </c>
      <c r="C2945" s="5">
        <v>12150.0</v>
      </c>
      <c r="D2945" s="8" t="str">
        <f>+37.128360°</f>
        <v>#ERROR!</v>
      </c>
      <c r="E2945" s="7" t="s">
        <v>4802</v>
      </c>
    </row>
    <row r="2946">
      <c r="A2946" s="3" t="s">
        <v>4606</v>
      </c>
      <c r="B2946" s="4" t="s">
        <v>4803</v>
      </c>
      <c r="C2946" s="5">
        <v>95535.0</v>
      </c>
      <c r="D2946" s="8" t="str">
        <f>+36.859430°</f>
        <v>#ERROR!</v>
      </c>
      <c r="E2946" s="7" t="s">
        <v>4804</v>
      </c>
    </row>
    <row r="2947">
      <c r="A2947" s="3" t="s">
        <v>4606</v>
      </c>
      <c r="B2947" s="4" t="s">
        <v>4805</v>
      </c>
      <c r="C2947" s="5">
        <v>16408.0</v>
      </c>
      <c r="D2947" s="8" t="str">
        <f>+37.120036°</f>
        <v>#ERROR!</v>
      </c>
      <c r="E2947" s="7" t="s">
        <v>4806</v>
      </c>
    </row>
    <row r="2948">
      <c r="A2948" s="3" t="s">
        <v>4606</v>
      </c>
      <c r="B2948" s="4" t="s">
        <v>4807</v>
      </c>
      <c r="C2948" s="5">
        <v>204214.0</v>
      </c>
      <c r="D2948" s="8" t="str">
        <f>+37.531399°</f>
        <v>#ERROR!</v>
      </c>
      <c r="E2948" s="7" t="s">
        <v>4808</v>
      </c>
    </row>
    <row r="2949">
      <c r="A2949" s="3" t="s">
        <v>4606</v>
      </c>
      <c r="B2949" s="4" t="s">
        <v>4809</v>
      </c>
      <c r="C2949" s="5">
        <v>97032.0</v>
      </c>
      <c r="D2949" s="8" t="str">
        <f>+37.277830°</f>
        <v>#ERROR!</v>
      </c>
      <c r="E2949" s="7" t="s">
        <v>4810</v>
      </c>
    </row>
    <row r="2950">
      <c r="A2950" s="3" t="s">
        <v>4606</v>
      </c>
      <c r="B2950" s="4" t="s">
        <v>4811</v>
      </c>
      <c r="C2950" s="5">
        <v>24802.0</v>
      </c>
      <c r="D2950" s="8" t="str">
        <f>+37.285333°</f>
        <v>#ERROR!</v>
      </c>
      <c r="E2950" s="7" t="s">
        <v>4812</v>
      </c>
    </row>
    <row r="2951">
      <c r="A2951" s="3" t="s">
        <v>4606</v>
      </c>
      <c r="B2951" s="4" t="s">
        <v>4813</v>
      </c>
      <c r="C2951" s="5">
        <v>23746.0</v>
      </c>
      <c r="D2951" s="8" t="str">
        <f>+38.158056°</f>
        <v>#ERROR!</v>
      </c>
      <c r="E2951" s="7" t="s">
        <v>4814</v>
      </c>
    </row>
    <row r="2952">
      <c r="A2952" s="3" t="s">
        <v>4606</v>
      </c>
      <c r="B2952" s="4" t="s">
        <v>4815</v>
      </c>
      <c r="C2952" s="5">
        <v>84585.0</v>
      </c>
      <c r="D2952" s="8" t="str">
        <f>+36.697157°</f>
        <v>#ERROR!</v>
      </c>
      <c r="E2952" s="7" t="s">
        <v>4816</v>
      </c>
    </row>
    <row r="2953">
      <c r="A2953" s="3" t="s">
        <v>4606</v>
      </c>
      <c r="B2953" s="4" t="s">
        <v>4817</v>
      </c>
      <c r="C2953" s="5">
        <v>437994.0</v>
      </c>
      <c r="D2953" s="8" t="str">
        <f>+36.779322°</f>
        <v>#ERROR!</v>
      </c>
      <c r="E2953" s="7" t="s">
        <v>4818</v>
      </c>
    </row>
    <row r="2954">
      <c r="A2954" s="3" t="s">
        <v>4606</v>
      </c>
      <c r="B2954" s="4" t="s">
        <v>4819</v>
      </c>
      <c r="C2954" s="5">
        <v>21006.0</v>
      </c>
      <c r="D2954" s="8" t="str">
        <f>+38.067157°</f>
        <v>#ERROR!</v>
      </c>
      <c r="E2954" s="7" t="s">
        <v>4820</v>
      </c>
    </row>
    <row r="2955">
      <c r="A2955" s="3" t="s">
        <v>4606</v>
      </c>
      <c r="B2955" s="4" t="s">
        <v>4821</v>
      </c>
      <c r="C2955" s="5">
        <v>14068.0</v>
      </c>
      <c r="D2955" s="8" t="str">
        <f>+37.269293°</f>
        <v>#ERROR!</v>
      </c>
      <c r="E2955" s="7" t="s">
        <v>4822</v>
      </c>
    </row>
    <row r="2956">
      <c r="A2956" s="3" t="s">
        <v>4606</v>
      </c>
      <c r="B2956" s="4" t="s">
        <v>4823</v>
      </c>
      <c r="C2956" s="5">
        <v>26203.0</v>
      </c>
      <c r="D2956" s="8" t="str">
        <f>+39.173869°</f>
        <v>#ERROR!</v>
      </c>
      <c r="E2956" s="7" t="s">
        <v>4824</v>
      </c>
    </row>
    <row r="2957">
      <c r="A2957" s="3" t="s">
        <v>4825</v>
      </c>
      <c r="B2957" s="4" t="s">
        <v>522</v>
      </c>
      <c r="C2957" s="5">
        <v>18728.0</v>
      </c>
      <c r="D2957" s="8" t="str">
        <f>+47.004840°</f>
        <v>#ERROR!</v>
      </c>
      <c r="E2957" s="7" t="s">
        <v>4826</v>
      </c>
    </row>
    <row r="2958">
      <c r="A2958" s="3" t="s">
        <v>4825</v>
      </c>
      <c r="B2958" s="4" t="s">
        <v>4827</v>
      </c>
      <c r="C2958" s="5">
        <v>21623.0</v>
      </c>
      <c r="D2958" s="8" t="str">
        <f>+46.181861°</f>
        <v>#ERROR!</v>
      </c>
      <c r="E2958" s="7" t="s">
        <v>4828</v>
      </c>
    </row>
    <row r="2959">
      <c r="A2959" s="3" t="s">
        <v>4825</v>
      </c>
      <c r="B2959" s="4" t="s">
        <v>280</v>
      </c>
      <c r="C2959" s="5">
        <v>175177.0</v>
      </c>
      <c r="D2959" s="8" t="str">
        <f>+46.228072°</f>
        <v>#ERROR!</v>
      </c>
      <c r="E2959" s="7" t="s">
        <v>4829</v>
      </c>
    </row>
    <row r="2960">
      <c r="A2960" s="3" t="s">
        <v>4825</v>
      </c>
      <c r="B2960" s="4" t="s">
        <v>4830</v>
      </c>
      <c r="C2960" s="5">
        <v>72453.0</v>
      </c>
      <c r="D2960" s="8" t="str">
        <f>+47.859892°</f>
        <v>#ERROR!</v>
      </c>
      <c r="E2960" s="7" t="s">
        <v>4831</v>
      </c>
    </row>
    <row r="2961">
      <c r="A2961" s="3" t="s">
        <v>4825</v>
      </c>
      <c r="B2961" s="4" t="s">
        <v>4832</v>
      </c>
      <c r="C2961" s="5">
        <v>71404.0</v>
      </c>
      <c r="D2961" s="8" t="str">
        <f>+48.113009°</f>
        <v>#ERROR!</v>
      </c>
      <c r="E2961" s="7" t="s">
        <v>4833</v>
      </c>
    </row>
    <row r="2962">
      <c r="A2962" s="3" t="s">
        <v>4825</v>
      </c>
      <c r="B2962" s="4" t="s">
        <v>291</v>
      </c>
      <c r="C2962" s="5">
        <v>425363.0</v>
      </c>
      <c r="D2962" s="8" t="str">
        <f>+45.771674°</f>
        <v>#ERROR!</v>
      </c>
      <c r="E2962" s="7" t="s">
        <v>4834</v>
      </c>
    </row>
    <row r="2963">
      <c r="A2963" s="3" t="s">
        <v>4825</v>
      </c>
      <c r="B2963" s="4" t="s">
        <v>297</v>
      </c>
      <c r="C2963" s="5">
        <v>4078.0</v>
      </c>
      <c r="D2963" s="8" t="str">
        <f>+46.292851°</f>
        <v>#ERROR!</v>
      </c>
      <c r="E2963" s="7" t="s">
        <v>4835</v>
      </c>
    </row>
    <row r="2964">
      <c r="A2964" s="3" t="s">
        <v>4825</v>
      </c>
      <c r="B2964" s="4" t="s">
        <v>4836</v>
      </c>
      <c r="C2964" s="5">
        <v>102410.0</v>
      </c>
      <c r="D2964" s="8" t="str">
        <f>+46.185923°</f>
        <v>#ERROR!</v>
      </c>
      <c r="E2964" s="7" t="s">
        <v>4837</v>
      </c>
    </row>
    <row r="2965">
      <c r="A2965" s="3" t="s">
        <v>4825</v>
      </c>
      <c r="B2965" s="4" t="s">
        <v>558</v>
      </c>
      <c r="C2965" s="5">
        <v>38431.0</v>
      </c>
      <c r="D2965" s="8" t="str">
        <f>+47.735866°</f>
        <v>#ERROR!</v>
      </c>
      <c r="E2965" s="7" t="s">
        <v>4838</v>
      </c>
    </row>
    <row r="2966">
      <c r="A2966" s="3" t="s">
        <v>4825</v>
      </c>
      <c r="B2966" s="4" t="s">
        <v>4839</v>
      </c>
      <c r="C2966" s="5">
        <v>7551.0</v>
      </c>
      <c r="D2966" s="8" t="str">
        <f>+48.437246°</f>
        <v>#ERROR!</v>
      </c>
      <c r="E2966" s="7" t="s">
        <v>4840</v>
      </c>
    </row>
    <row r="2967">
      <c r="A2967" s="3" t="s">
        <v>4825</v>
      </c>
      <c r="B2967" s="4" t="s">
        <v>90</v>
      </c>
      <c r="C2967" s="5">
        <v>78163.0</v>
      </c>
      <c r="D2967" s="8" t="str">
        <f>+46.534580°</f>
        <v>#ERROR!</v>
      </c>
      <c r="E2967" s="7" t="s">
        <v>4841</v>
      </c>
    </row>
    <row r="2968">
      <c r="A2968" s="3" t="s">
        <v>4825</v>
      </c>
      <c r="B2968" s="4" t="s">
        <v>568</v>
      </c>
      <c r="C2968" s="5">
        <v>2266.0</v>
      </c>
      <c r="D2968" s="8" t="str">
        <f>+46.429474°</f>
        <v>#ERROR!</v>
      </c>
      <c r="E2968" s="7" t="s">
        <v>4842</v>
      </c>
    </row>
    <row r="2969">
      <c r="A2969" s="3" t="s">
        <v>4825</v>
      </c>
      <c r="B2969" s="4" t="s">
        <v>321</v>
      </c>
      <c r="C2969" s="5">
        <v>89120.0</v>
      </c>
      <c r="D2969" s="8" t="str">
        <f>+47.213633°</f>
        <v>#ERROR!</v>
      </c>
      <c r="E2969" s="7" t="s">
        <v>4843</v>
      </c>
    </row>
    <row r="2970">
      <c r="A2970" s="3" t="s">
        <v>4825</v>
      </c>
      <c r="B2970" s="4" t="s">
        <v>4844</v>
      </c>
      <c r="C2970" s="5">
        <v>72797.0</v>
      </c>
      <c r="D2970" s="8" t="str">
        <f>+47.142786°</f>
        <v>#ERROR!</v>
      </c>
      <c r="E2970" s="7" t="s">
        <v>4845</v>
      </c>
    </row>
    <row r="2971">
      <c r="A2971" s="3" t="s">
        <v>4825</v>
      </c>
      <c r="B2971" s="4" t="s">
        <v>4846</v>
      </c>
      <c r="C2971" s="5">
        <v>78506.0</v>
      </c>
      <c r="D2971" s="8" t="str">
        <f>+48.158436°</f>
        <v>#ERROR!</v>
      </c>
      <c r="E2971" s="7" t="s">
        <v>4847</v>
      </c>
    </row>
    <row r="2972">
      <c r="A2972" s="3" t="s">
        <v>4825</v>
      </c>
      <c r="B2972" s="4" t="s">
        <v>111</v>
      </c>
      <c r="C2972" s="5">
        <v>29872.0</v>
      </c>
      <c r="D2972" s="8" t="str">
        <f>+47.802641°</f>
        <v>#ERROR!</v>
      </c>
      <c r="E2972" s="7" t="s">
        <v>4848</v>
      </c>
    </row>
    <row r="2973">
      <c r="A2973" s="3" t="s">
        <v>4825</v>
      </c>
      <c r="B2973" s="4" t="s">
        <v>4340</v>
      </c>
      <c r="C2973" s="5">
        <v>1931249.0</v>
      </c>
      <c r="D2973" s="8" t="str">
        <f>+47.493554°</f>
        <v>#ERROR!</v>
      </c>
      <c r="E2973" s="7" t="s">
        <v>4849</v>
      </c>
    </row>
    <row r="2974">
      <c r="A2974" s="3" t="s">
        <v>4825</v>
      </c>
      <c r="B2974" s="4" t="s">
        <v>4850</v>
      </c>
      <c r="C2974" s="5">
        <v>251133.0</v>
      </c>
      <c r="D2974" s="8" t="str">
        <f>+47.639687°</f>
        <v>#ERROR!</v>
      </c>
      <c r="E2974" s="7" t="s">
        <v>4851</v>
      </c>
    </row>
    <row r="2975">
      <c r="A2975" s="3" t="s">
        <v>4825</v>
      </c>
      <c r="B2975" s="4" t="s">
        <v>4852</v>
      </c>
      <c r="C2975" s="5">
        <v>40915.0</v>
      </c>
      <c r="D2975" s="8" t="str">
        <f>+47.124444°</f>
        <v>#ERROR!</v>
      </c>
      <c r="E2975" s="7" t="s">
        <v>4853</v>
      </c>
    </row>
    <row r="2976">
      <c r="A2976" s="3" t="s">
        <v>4825</v>
      </c>
      <c r="B2976" s="4" t="s">
        <v>4854</v>
      </c>
      <c r="C2976" s="5">
        <v>20318.0</v>
      </c>
      <c r="D2976" s="8" t="str">
        <f>+45.869509°</f>
        <v>#ERROR!</v>
      </c>
      <c r="E2976" s="7" t="s">
        <v>4855</v>
      </c>
    </row>
    <row r="2977">
      <c r="A2977" s="3" t="s">
        <v>4825</v>
      </c>
      <c r="B2977" s="4" t="s">
        <v>1118</v>
      </c>
      <c r="C2977" s="5">
        <v>75455.0</v>
      </c>
      <c r="D2977" s="8" t="str">
        <f>+46.580071°</f>
        <v>#ERROR!</v>
      </c>
      <c r="E2977" s="7" t="s">
        <v>4856</v>
      </c>
    </row>
    <row r="2978">
      <c r="A2978" s="3" t="s">
        <v>4825</v>
      </c>
      <c r="B2978" s="4" t="s">
        <v>342</v>
      </c>
      <c r="C2978" s="5">
        <v>10570.0</v>
      </c>
      <c r="D2978" s="8" t="str">
        <f>+47.582718°</f>
        <v>#ERROR!</v>
      </c>
      <c r="E2978" s="7" t="s">
        <v>4857</v>
      </c>
    </row>
    <row r="2979">
      <c r="A2979" s="3" t="s">
        <v>4825</v>
      </c>
      <c r="B2979" s="4" t="s">
        <v>1238</v>
      </c>
      <c r="C2979" s="5">
        <v>60699.0</v>
      </c>
      <c r="D2979" s="8" t="str">
        <f>+47.354126°</f>
        <v>#ERROR!</v>
      </c>
      <c r="E2979" s="7" t="s">
        <v>4858</v>
      </c>
    </row>
    <row r="2980">
      <c r="A2980" s="3" t="s">
        <v>4825</v>
      </c>
      <c r="B2980" s="4" t="s">
        <v>4859</v>
      </c>
      <c r="C2980" s="5">
        <v>41120.0</v>
      </c>
      <c r="D2980" s="8" t="str">
        <f>+48.550971°</f>
        <v>#ERROR!</v>
      </c>
      <c r="E2980" s="7" t="s">
        <v>4860</v>
      </c>
    </row>
    <row r="2981">
      <c r="A2981" s="3" t="s">
        <v>4825</v>
      </c>
      <c r="B2981" s="4" t="s">
        <v>4861</v>
      </c>
      <c r="C2981" s="5">
        <v>20920.0</v>
      </c>
      <c r="D2981" s="8" t="str">
        <f>+46.556587°</f>
        <v>#ERROR!</v>
      </c>
      <c r="E2981" s="7" t="s">
        <v>4862</v>
      </c>
    </row>
    <row r="2982">
      <c r="A2982" s="3" t="s">
        <v>4825</v>
      </c>
      <c r="B2982" s="4" t="s">
        <v>4863</v>
      </c>
      <c r="C2982" s="5">
        <v>13001.0</v>
      </c>
      <c r="D2982" s="8" t="str">
        <f>+48.543877°</f>
        <v>#ERROR!</v>
      </c>
      <c r="E2982" s="7" t="s">
        <v>4864</v>
      </c>
    </row>
    <row r="2983">
      <c r="A2983" s="3" t="s">
        <v>4825</v>
      </c>
      <c r="B2983" s="4" t="s">
        <v>974</v>
      </c>
      <c r="C2983" s="5">
        <v>795225.0</v>
      </c>
      <c r="D2983" s="8" t="str">
        <f>+47.040716°</f>
        <v>#ERROR!</v>
      </c>
      <c r="E2983" s="7" t="s">
        <v>4865</v>
      </c>
    </row>
    <row r="2984">
      <c r="A2984" s="3" t="s">
        <v>4825</v>
      </c>
      <c r="B2984" s="4" t="s">
        <v>627</v>
      </c>
      <c r="C2984" s="5">
        <v>15769.0</v>
      </c>
      <c r="D2984" s="8" t="str">
        <f>+48.508862°</f>
        <v>#ERROR!</v>
      </c>
      <c r="E2984" s="7" t="s">
        <v>4866</v>
      </c>
    </row>
    <row r="2985">
      <c r="A2985" s="3" t="s">
        <v>4825</v>
      </c>
      <c r="B2985" s="4" t="s">
        <v>4867</v>
      </c>
      <c r="C2985" s="5">
        <v>116901.0</v>
      </c>
      <c r="D2985" s="8" t="str">
        <f>+48.493066°</f>
        <v>#ERROR!</v>
      </c>
      <c r="E2985" s="7" t="s">
        <v>4868</v>
      </c>
    </row>
    <row r="2986">
      <c r="A2986" s="3" t="s">
        <v>4825</v>
      </c>
      <c r="B2986" s="4" t="s">
        <v>4869</v>
      </c>
      <c r="C2986" s="5">
        <v>11066.0</v>
      </c>
      <c r="D2986" s="8" t="str">
        <f>+46.024782°</f>
        <v>#ERROR!</v>
      </c>
      <c r="E2986" s="7" t="s">
        <v>4870</v>
      </c>
    </row>
    <row r="2987">
      <c r="A2987" s="3" t="s">
        <v>4825</v>
      </c>
      <c r="B2987" s="4" t="s">
        <v>4871</v>
      </c>
      <c r="C2987" s="5">
        <v>713335.0</v>
      </c>
      <c r="D2987" s="8" t="str">
        <f>+48.054913°</f>
        <v>#ERROR!</v>
      </c>
      <c r="E2987" s="7" t="s">
        <v>4872</v>
      </c>
    </row>
    <row r="2988">
      <c r="A2988" s="3" t="s">
        <v>4825</v>
      </c>
      <c r="B2988" s="4" t="s">
        <v>4873</v>
      </c>
      <c r="C2988" s="5">
        <v>471221.0</v>
      </c>
      <c r="D2988" s="8" t="str">
        <f>+47.620379°</f>
        <v>#ERROR!</v>
      </c>
      <c r="E2988" s="7" t="s">
        <v>4874</v>
      </c>
    </row>
    <row r="2989">
      <c r="A2989" s="3" t="s">
        <v>4825</v>
      </c>
      <c r="B2989" s="4" t="s">
        <v>1732</v>
      </c>
      <c r="C2989" s="5">
        <v>43531.0</v>
      </c>
      <c r="D2989" s="8" t="str">
        <f>+48.390648°</f>
        <v>#ERROR!</v>
      </c>
      <c r="E2989" s="7" t="s">
        <v>4875</v>
      </c>
    </row>
    <row r="2990">
      <c r="A2990" s="3" t="s">
        <v>4825</v>
      </c>
      <c r="B2990" s="4" t="s">
        <v>2921</v>
      </c>
      <c r="C2990" s="5">
        <v>252264.0</v>
      </c>
      <c r="D2990" s="8" t="str">
        <f>+46.932598°</f>
        <v>#ERROR!</v>
      </c>
      <c r="E2990" s="7" t="s">
        <v>4876</v>
      </c>
    </row>
    <row r="2991">
      <c r="A2991" s="3" t="s">
        <v>4825</v>
      </c>
      <c r="B2991" s="4" t="s">
        <v>4877</v>
      </c>
      <c r="C2991" s="5">
        <v>3978.0</v>
      </c>
      <c r="D2991" s="8" t="str">
        <f>+46.294638°</f>
        <v>#ERROR!</v>
      </c>
      <c r="E2991" s="7" t="s">
        <v>4878</v>
      </c>
    </row>
    <row r="2992">
      <c r="A2992" s="3" t="s">
        <v>4825</v>
      </c>
      <c r="B2992" s="4" t="s">
        <v>4879</v>
      </c>
      <c r="C2992" s="5">
        <v>58781.0</v>
      </c>
      <c r="D2992" s="8" t="str">
        <f>+46.254606°</f>
        <v>#ERROR!</v>
      </c>
      <c r="E2992" s="7" t="s">
        <v>4880</v>
      </c>
    </row>
    <row r="2993">
      <c r="A2993" s="3" t="s">
        <v>4825</v>
      </c>
      <c r="B2993" s="4" t="s">
        <v>4881</v>
      </c>
      <c r="C2993" s="5">
        <v>201140.0</v>
      </c>
      <c r="D2993" s="8" t="str">
        <f>+48.842653°</f>
        <v>#ERROR!</v>
      </c>
      <c r="E2993" s="7" t="s">
        <v>4882</v>
      </c>
    </row>
    <row r="2994">
      <c r="A2994" s="3" t="s">
        <v>4825</v>
      </c>
      <c r="B2994" s="4" t="s">
        <v>4883</v>
      </c>
      <c r="C2994" s="5">
        <v>44776.0</v>
      </c>
      <c r="D2994" s="8" t="str">
        <f>+46.903322°</f>
        <v>#ERROR!</v>
      </c>
      <c r="E2994" s="7" t="s">
        <v>4884</v>
      </c>
    </row>
    <row r="2995">
      <c r="A2995" s="3" t="s">
        <v>4825</v>
      </c>
      <c r="B2995" s="4" t="s">
        <v>4885</v>
      </c>
      <c r="C2995" s="5">
        <v>243231.0</v>
      </c>
      <c r="D2995" s="8" t="str">
        <f>+46.456558°</f>
        <v>#ERROR!</v>
      </c>
      <c r="E2995" s="7" t="s">
        <v>4886</v>
      </c>
    </row>
    <row r="2996">
      <c r="A2996" s="3" t="s">
        <v>4887</v>
      </c>
      <c r="B2996" s="4" t="s">
        <v>12</v>
      </c>
      <c r="C2996" s="5">
        <v>16589.0</v>
      </c>
      <c r="D2996" s="8" t="str">
        <f>+39.139754°</f>
        <v>#ERROR!</v>
      </c>
      <c r="E2996" s="7" t="s">
        <v>4888</v>
      </c>
    </row>
    <row r="2997">
      <c r="A2997" s="3" t="s">
        <v>4887</v>
      </c>
      <c r="B2997" s="4" t="s">
        <v>3833</v>
      </c>
      <c r="C2997" s="5">
        <v>104169.0</v>
      </c>
      <c r="D2997" s="8" t="str">
        <f>+39.457854°</f>
        <v>#ERROR!</v>
      </c>
      <c r="E2997" s="7" t="s">
        <v>4889</v>
      </c>
    </row>
    <row r="2998">
      <c r="A2998" s="3" t="s">
        <v>4887</v>
      </c>
      <c r="B2998" s="4" t="s">
        <v>282</v>
      </c>
      <c r="C2998" s="5">
        <v>24629.0</v>
      </c>
      <c r="D2998" s="8" t="str">
        <f>+38.022838°</f>
        <v>#ERROR!</v>
      </c>
      <c r="E2998" s="7" t="s">
        <v>4890</v>
      </c>
    </row>
    <row r="2999">
      <c r="A2999" s="3" t="s">
        <v>4887</v>
      </c>
      <c r="B2999" s="4" t="s">
        <v>4891</v>
      </c>
      <c r="C2999" s="5">
        <v>14523.0</v>
      </c>
      <c r="D2999" s="8" t="str">
        <f>+38.699302°</f>
        <v>#ERROR!</v>
      </c>
      <c r="E2999" s="7" t="s">
        <v>4892</v>
      </c>
    </row>
    <row r="3000">
      <c r="A3000" s="3" t="s">
        <v>4887</v>
      </c>
      <c r="B3000" s="4" t="s">
        <v>4893</v>
      </c>
      <c r="C3000" s="5">
        <v>24069.0</v>
      </c>
      <c r="D3000" s="8" t="str">
        <f>+40.272645°</f>
        <v>#ERROR!</v>
      </c>
      <c r="E3000" s="7" t="s">
        <v>4894</v>
      </c>
    </row>
    <row r="3001">
      <c r="A3001" s="3" t="s">
        <v>4887</v>
      </c>
      <c r="B3001" s="4" t="s">
        <v>4895</v>
      </c>
      <c r="C3001" s="5">
        <v>96319.0</v>
      </c>
      <c r="D3001" s="8" t="str">
        <f>+38.419580°</f>
        <v>#ERROR!</v>
      </c>
      <c r="E3001" s="7" t="s">
        <v>4896</v>
      </c>
    </row>
    <row r="3002">
      <c r="A3002" s="3" t="s">
        <v>4887</v>
      </c>
      <c r="B3002" s="4" t="s">
        <v>27</v>
      </c>
      <c r="C3002" s="5">
        <v>7627.0</v>
      </c>
      <c r="D3002" s="8" t="str">
        <f>+38.844159°</f>
        <v>#ERROR!</v>
      </c>
      <c r="E3002" s="7" t="s">
        <v>4897</v>
      </c>
    </row>
    <row r="3003">
      <c r="A3003" s="3" t="s">
        <v>4887</v>
      </c>
      <c r="B3003" s="4" t="s">
        <v>42</v>
      </c>
      <c r="C3003" s="5">
        <v>9386.0</v>
      </c>
      <c r="D3003" s="8" t="str">
        <f>+38.459826°</f>
        <v>#ERROR!</v>
      </c>
      <c r="E3003" s="7" t="s">
        <v>4898</v>
      </c>
    </row>
    <row r="3004">
      <c r="A3004" s="3" t="s">
        <v>4887</v>
      </c>
      <c r="B3004" s="4" t="s">
        <v>4899</v>
      </c>
      <c r="C3004" s="5">
        <v>8202.0</v>
      </c>
      <c r="D3004" s="8" t="str">
        <f>+39.263482°</f>
        <v>#ERROR!</v>
      </c>
      <c r="E3004" s="7" t="s">
        <v>4900</v>
      </c>
    </row>
    <row r="3005">
      <c r="A3005" s="3" t="s">
        <v>4887</v>
      </c>
      <c r="B3005" s="4" t="s">
        <v>87</v>
      </c>
      <c r="C3005" s="5">
        <v>46039.0</v>
      </c>
      <c r="D3005" s="8" t="str">
        <f>+38.030933°</f>
        <v>#ERROR!</v>
      </c>
      <c r="E3005" s="7" t="s">
        <v>4901</v>
      </c>
    </row>
    <row r="3006">
      <c r="A3006" s="3" t="s">
        <v>4887</v>
      </c>
      <c r="B3006" s="4" t="s">
        <v>890</v>
      </c>
      <c r="C3006" s="5">
        <v>8693.0</v>
      </c>
      <c r="D3006" s="8" t="str">
        <f>+38.915865°</f>
        <v>#ERROR!</v>
      </c>
      <c r="E3006" s="7" t="s">
        <v>4902</v>
      </c>
    </row>
    <row r="3007">
      <c r="A3007" s="3" t="s">
        <v>4887</v>
      </c>
      <c r="B3007" s="4" t="s">
        <v>321</v>
      </c>
      <c r="C3007" s="5">
        <v>11937.0</v>
      </c>
      <c r="D3007" s="8" t="str">
        <f>+39.105988°</f>
        <v>#ERROR!</v>
      </c>
      <c r="E3007" s="7" t="s">
        <v>4903</v>
      </c>
    </row>
    <row r="3008">
      <c r="A3008" s="3" t="s">
        <v>4887</v>
      </c>
      <c r="B3008" s="4" t="s">
        <v>4904</v>
      </c>
      <c r="C3008" s="5">
        <v>35480.0</v>
      </c>
      <c r="D3008" s="8" t="str">
        <f>+37.924418°</f>
        <v>#ERROR!</v>
      </c>
      <c r="E3008" s="7" t="s">
        <v>4905</v>
      </c>
    </row>
    <row r="3009">
      <c r="A3009" s="3" t="s">
        <v>4887</v>
      </c>
      <c r="B3009" s="4" t="s">
        <v>2123</v>
      </c>
      <c r="C3009" s="5">
        <v>23964.0</v>
      </c>
      <c r="D3009" s="8" t="str">
        <f>+39.312140°</f>
        <v>#ERROR!</v>
      </c>
      <c r="E3009" s="7" t="s">
        <v>4906</v>
      </c>
    </row>
    <row r="3010">
      <c r="A3010" s="3" t="s">
        <v>4887</v>
      </c>
      <c r="B3010" s="4" t="s">
        <v>907</v>
      </c>
      <c r="C3010" s="5">
        <v>30676.0</v>
      </c>
      <c r="D3010" s="8" t="str">
        <f>+40.516931°</f>
        <v>#ERROR!</v>
      </c>
      <c r="E3010" s="7" t="s">
        <v>4907</v>
      </c>
    </row>
    <row r="3011">
      <c r="A3011" s="3" t="s">
        <v>4887</v>
      </c>
      <c r="B3011" s="4" t="s">
        <v>4908</v>
      </c>
      <c r="C3011" s="5">
        <v>14025.0</v>
      </c>
      <c r="D3011" s="8" t="str">
        <f>+39.010818°</f>
        <v>#ERROR!</v>
      </c>
      <c r="E3011" s="7" t="s">
        <v>4909</v>
      </c>
    </row>
    <row r="3012">
      <c r="A3012" s="3" t="s">
        <v>4887</v>
      </c>
      <c r="B3012" s="4" t="s">
        <v>1341</v>
      </c>
      <c r="C3012" s="5">
        <v>69099.0</v>
      </c>
      <c r="D3012" s="8" t="str">
        <f>+39.279199°</f>
        <v>#ERROR!</v>
      </c>
      <c r="E3012" s="7" t="s">
        <v>4910</v>
      </c>
    </row>
    <row r="3013">
      <c r="A3013" s="3" t="s">
        <v>4887</v>
      </c>
      <c r="B3013" s="4" t="s">
        <v>108</v>
      </c>
      <c r="C3013" s="5">
        <v>29211.0</v>
      </c>
      <c r="D3013" s="8" t="str">
        <f>+38.834234°</f>
        <v>#ERROR!</v>
      </c>
      <c r="E3013" s="7" t="s">
        <v>4911</v>
      </c>
    </row>
    <row r="3014">
      <c r="A3014" s="3" t="s">
        <v>4887</v>
      </c>
      <c r="B3014" s="4" t="s">
        <v>111</v>
      </c>
      <c r="C3014" s="5">
        <v>53498.0</v>
      </c>
      <c r="D3014" s="8" t="str">
        <f>+39.307399°</f>
        <v>#ERROR!</v>
      </c>
      <c r="E3014" s="7" t="s">
        <v>4912</v>
      </c>
    </row>
    <row r="3015">
      <c r="A3015" s="3" t="s">
        <v>4887</v>
      </c>
      <c r="B3015" s="4" t="s">
        <v>4913</v>
      </c>
      <c r="C3015" s="5">
        <v>193063.0</v>
      </c>
      <c r="D3015" s="8" t="str">
        <f>+38.328061°</f>
        <v>#ERROR!</v>
      </c>
      <c r="E3015" s="7" t="s">
        <v>4914</v>
      </c>
    </row>
    <row r="3016">
      <c r="A3016" s="3" t="s">
        <v>4887</v>
      </c>
      <c r="B3016" s="4" t="s">
        <v>1118</v>
      </c>
      <c r="C3016" s="5">
        <v>16372.0</v>
      </c>
      <c r="D3016" s="8" t="str">
        <f>+38.988844°</f>
        <v>#ERROR!</v>
      </c>
      <c r="E3016" s="7" t="s">
        <v>4915</v>
      </c>
    </row>
    <row r="3017">
      <c r="A3017" s="3" t="s">
        <v>4887</v>
      </c>
      <c r="B3017" s="4" t="s">
        <v>342</v>
      </c>
      <c r="C3017" s="5">
        <v>21720.0</v>
      </c>
      <c r="D3017" s="8" t="str">
        <f>+38.171651°</f>
        <v>#ERROR!</v>
      </c>
      <c r="E3017" s="7" t="s">
        <v>4916</v>
      </c>
    </row>
    <row r="3018">
      <c r="A3018" s="3" t="s">
        <v>4887</v>
      </c>
      <c r="B3018" s="4" t="s">
        <v>346</v>
      </c>
      <c r="C3018" s="5">
        <v>36743.0</v>
      </c>
      <c r="D3018" s="8" t="str">
        <f>+37.830591°</f>
        <v>#ERROR!</v>
      </c>
      <c r="E3018" s="7" t="s">
        <v>4917</v>
      </c>
    </row>
    <row r="3019">
      <c r="A3019" s="3" t="s">
        <v>4887</v>
      </c>
      <c r="B3019" s="4" t="s">
        <v>3255</v>
      </c>
      <c r="C3019" s="5">
        <v>22113.0</v>
      </c>
      <c r="D3019" s="8" t="str">
        <f>+37.382663°</f>
        <v>#ERROR!</v>
      </c>
      <c r="E3019" s="7" t="s">
        <v>4918</v>
      </c>
    </row>
    <row r="3020">
      <c r="A3020" s="3" t="s">
        <v>4887</v>
      </c>
      <c r="B3020" s="4" t="s">
        <v>141</v>
      </c>
      <c r="C3020" s="5">
        <v>56418.0</v>
      </c>
      <c r="D3020" s="8" t="str">
        <f>+39.505839°</f>
        <v>#ERROR!</v>
      </c>
      <c r="E3020" s="7" t="s">
        <v>4919</v>
      </c>
    </row>
    <row r="3021">
      <c r="A3021" s="3" t="s">
        <v>4887</v>
      </c>
      <c r="B3021" s="4" t="s">
        <v>143</v>
      </c>
      <c r="C3021" s="5">
        <v>33107.0</v>
      </c>
      <c r="D3021" s="8" t="str">
        <f>+39.854717°</f>
        <v>#ERROR!</v>
      </c>
      <c r="E3021" s="7" t="s">
        <v>4920</v>
      </c>
    </row>
    <row r="3022">
      <c r="A3022" s="3" t="s">
        <v>4887</v>
      </c>
      <c r="B3022" s="4" t="s">
        <v>1238</v>
      </c>
      <c r="C3022" s="5">
        <v>27324.0</v>
      </c>
      <c r="D3022" s="8" t="str">
        <f>+38.759288°</f>
        <v>#ERROR!</v>
      </c>
      <c r="E3022" s="7" t="s">
        <v>4921</v>
      </c>
    </row>
    <row r="3023">
      <c r="A3023" s="3" t="s">
        <v>4887</v>
      </c>
      <c r="B3023" s="4" t="s">
        <v>1244</v>
      </c>
      <c r="C3023" s="5">
        <v>62264.0</v>
      </c>
      <c r="D3023" s="8" t="str">
        <f>+37.403448°</f>
        <v>#ERROR!</v>
      </c>
      <c r="E3023" s="7" t="s">
        <v>4922</v>
      </c>
    </row>
    <row r="3024">
      <c r="A3024" s="3" t="s">
        <v>4887</v>
      </c>
      <c r="B3024" s="4" t="s">
        <v>597</v>
      </c>
      <c r="C3024" s="5">
        <v>28212.0</v>
      </c>
      <c r="D3024" s="8" t="str">
        <f>+39.405626°</f>
        <v>#ERROR!</v>
      </c>
      <c r="E3024" s="7" t="s">
        <v>4923</v>
      </c>
    </row>
    <row r="3025">
      <c r="A3025" s="3" t="s">
        <v>4887</v>
      </c>
      <c r="B3025" s="4" t="s">
        <v>4924</v>
      </c>
      <c r="C3025" s="5">
        <v>26839.0</v>
      </c>
      <c r="D3025" s="8" t="str">
        <f>+37.721151°</f>
        <v>#ERROR!</v>
      </c>
      <c r="E3025" s="7" t="s">
        <v>4925</v>
      </c>
    </row>
    <row r="3026">
      <c r="A3026" s="3" t="s">
        <v>4887</v>
      </c>
      <c r="B3026" s="4" t="s">
        <v>4926</v>
      </c>
      <c r="C3026" s="5">
        <v>96189.0</v>
      </c>
      <c r="D3026" s="8" t="str">
        <f>+39.633645°</f>
        <v>#ERROR!</v>
      </c>
      <c r="E3026" s="7" t="s">
        <v>4927</v>
      </c>
    </row>
    <row r="3027">
      <c r="A3027" s="3" t="s">
        <v>4887</v>
      </c>
      <c r="B3027" s="4" t="s">
        <v>147</v>
      </c>
      <c r="C3027" s="5">
        <v>13502.0</v>
      </c>
      <c r="D3027" s="8" t="str">
        <f>+37.550353°</f>
        <v>#ERROR!</v>
      </c>
      <c r="E3027" s="7" t="s">
        <v>4928</v>
      </c>
    </row>
    <row r="3028">
      <c r="A3028" s="3" t="s">
        <v>4887</v>
      </c>
      <c r="B3028" s="4" t="s">
        <v>151</v>
      </c>
      <c r="C3028" s="5">
        <v>17541.0</v>
      </c>
      <c r="D3028" s="8" t="str">
        <f>+39.554835°</f>
        <v>#ERROR!</v>
      </c>
      <c r="E3028" s="7" t="s">
        <v>4929</v>
      </c>
    </row>
    <row r="3029">
      <c r="A3029" s="3" t="s">
        <v>4887</v>
      </c>
      <c r="B3029" s="4" t="s">
        <v>1885</v>
      </c>
      <c r="C3029" s="5">
        <v>26233.0</v>
      </c>
      <c r="D3029" s="8" t="str">
        <f>+38.291416°</f>
        <v>#ERROR!</v>
      </c>
      <c r="E3029" s="7" t="s">
        <v>4930</v>
      </c>
    </row>
    <row r="3030">
      <c r="A3030" s="3" t="s">
        <v>4887</v>
      </c>
      <c r="B3030" s="4" t="s">
        <v>1378</v>
      </c>
      <c r="C3030" s="5">
        <v>44443.0</v>
      </c>
      <c r="D3030" s="8" t="str">
        <f>+40.098932°</f>
        <v>#ERROR!</v>
      </c>
      <c r="E3030" s="7" t="s">
        <v>4931</v>
      </c>
    </row>
    <row r="3031">
      <c r="A3031" s="3" t="s">
        <v>4887</v>
      </c>
      <c r="B3031" s="4" t="s">
        <v>1893</v>
      </c>
      <c r="C3031" s="5">
        <v>7695.0</v>
      </c>
      <c r="D3031" s="8" t="str">
        <f>+38.686836°</f>
        <v>#ERROR!</v>
      </c>
      <c r="E3031" s="7" t="s">
        <v>4932</v>
      </c>
    </row>
    <row r="3032">
      <c r="A3032" s="3" t="s">
        <v>4887</v>
      </c>
      <c r="B3032" s="4" t="s">
        <v>4933</v>
      </c>
      <c r="C3032" s="5">
        <v>7605.0</v>
      </c>
      <c r="D3032" s="8" t="str">
        <f>+39.368133°</f>
        <v>#ERROR!</v>
      </c>
      <c r="E3032" s="7" t="s">
        <v>4934</v>
      </c>
    </row>
    <row r="3033">
      <c r="A3033" s="3" t="s">
        <v>4887</v>
      </c>
      <c r="B3033" s="4" t="s">
        <v>1543</v>
      </c>
      <c r="C3033" s="5">
        <v>8719.0</v>
      </c>
      <c r="D3033" s="8" t="str">
        <f>+38.332513°</f>
        <v>#ERROR!</v>
      </c>
      <c r="E3033" s="7" t="s">
        <v>4935</v>
      </c>
    </row>
    <row r="3034">
      <c r="A3034" s="3" t="s">
        <v>4887</v>
      </c>
      <c r="B3034" s="4" t="s">
        <v>4936</v>
      </c>
      <c r="C3034" s="5">
        <v>33520.0</v>
      </c>
      <c r="D3034" s="8" t="str">
        <f>+39.469030°</f>
        <v>#ERROR!</v>
      </c>
      <c r="E3034" s="7" t="s">
        <v>4937</v>
      </c>
    </row>
    <row r="3035">
      <c r="A3035" s="3" t="s">
        <v>4887</v>
      </c>
      <c r="B3035" s="4" t="s">
        <v>760</v>
      </c>
      <c r="C3035" s="5">
        <v>55486.0</v>
      </c>
      <c r="D3035" s="8" t="str">
        <f>+38.510513°</f>
        <v>#ERROR!</v>
      </c>
      <c r="E3035" s="7" t="s">
        <v>4938</v>
      </c>
    </row>
    <row r="3036">
      <c r="A3036" s="3" t="s">
        <v>4887</v>
      </c>
      <c r="B3036" s="4" t="s">
        <v>4939</v>
      </c>
      <c r="C3036" s="5">
        <v>78859.0</v>
      </c>
      <c r="D3036" s="8" t="str">
        <f>+37.762470°</f>
        <v>#ERROR!</v>
      </c>
      <c r="E3036" s="7" t="s">
        <v>4940</v>
      </c>
    </row>
    <row r="3037">
      <c r="A3037" s="3" t="s">
        <v>4887</v>
      </c>
      <c r="B3037" s="4" t="s">
        <v>159</v>
      </c>
      <c r="C3037" s="5">
        <v>29405.0</v>
      </c>
      <c r="D3037" s="8" t="str">
        <f>+38.781087°</f>
        <v>#ERROR!</v>
      </c>
      <c r="E3037" s="7" t="s">
        <v>4941</v>
      </c>
    </row>
    <row r="3038">
      <c r="A3038" s="3" t="s">
        <v>4887</v>
      </c>
      <c r="B3038" s="4" t="s">
        <v>4942</v>
      </c>
      <c r="C3038" s="5">
        <v>10449.0</v>
      </c>
      <c r="D3038" s="8" t="str">
        <f>+39.177112°</f>
        <v>#ERROR!</v>
      </c>
      <c r="E3038" s="7" t="s">
        <v>4943</v>
      </c>
    </row>
    <row r="3039">
      <c r="A3039" s="3" t="s">
        <v>4887</v>
      </c>
      <c r="B3039" s="4" t="s">
        <v>4094</v>
      </c>
      <c r="C3039" s="5">
        <v>14926.0</v>
      </c>
      <c r="D3039" s="8" t="str">
        <f>+38.743033°</f>
        <v>#ERROR!</v>
      </c>
      <c r="E3039" s="7" t="s">
        <v>4944</v>
      </c>
    </row>
    <row r="3040">
      <c r="A3040" s="3" t="s">
        <v>4887</v>
      </c>
      <c r="B3040" s="4" t="s">
        <v>4945</v>
      </c>
      <c r="C3040" s="5">
        <v>13927.0</v>
      </c>
      <c r="D3040" s="8" t="str">
        <f>+37.656003°</f>
        <v>#ERROR!</v>
      </c>
      <c r="E3040" s="7" t="s">
        <v>4946</v>
      </c>
    </row>
    <row r="3041">
      <c r="A3041" s="3" t="s">
        <v>4887</v>
      </c>
      <c r="B3041" s="4" t="s">
        <v>775</v>
      </c>
      <c r="C3041" s="5">
        <v>16895.0</v>
      </c>
      <c r="D3041" s="8" t="str">
        <f>+39.329072°</f>
        <v>#ERROR!</v>
      </c>
      <c r="E3041" s="7" t="s">
        <v>4947</v>
      </c>
    </row>
    <row r="3042">
      <c r="A3042" s="3" t="s">
        <v>4887</v>
      </c>
      <c r="B3042" s="4" t="s">
        <v>4948</v>
      </c>
      <c r="C3042" s="5">
        <v>7141.0</v>
      </c>
      <c r="D3042" s="8" t="str">
        <f>+39.111175°</f>
        <v>#ERROR!</v>
      </c>
      <c r="E3042" s="7" t="s">
        <v>4949</v>
      </c>
    </row>
    <row r="3043">
      <c r="A3043" s="3" t="s">
        <v>4887</v>
      </c>
      <c r="B3043" s="4" t="s">
        <v>4492</v>
      </c>
      <c r="C3043" s="5">
        <v>9208.0</v>
      </c>
      <c r="D3043" s="8" t="str">
        <f>+39.465981°</f>
        <v>#ERROR!</v>
      </c>
      <c r="E3043" s="7" t="s">
        <v>4950</v>
      </c>
    </row>
    <row r="3044">
      <c r="A3044" s="3" t="s">
        <v>4887</v>
      </c>
      <c r="B3044" s="4" t="s">
        <v>4494</v>
      </c>
      <c r="C3044" s="5">
        <v>24254.0</v>
      </c>
      <c r="D3044" s="8" t="str">
        <f>+38.902537°</f>
        <v>#ERROR!</v>
      </c>
      <c r="E3044" s="7" t="s">
        <v>4951</v>
      </c>
    </row>
    <row r="3045">
      <c r="A3045" s="3" t="s">
        <v>4887</v>
      </c>
      <c r="B3045" s="4" t="s">
        <v>1038</v>
      </c>
      <c r="C3045" s="5">
        <v>42481.0</v>
      </c>
      <c r="D3045" s="8" t="str">
        <f>+38.145531°</f>
        <v>#ERROR!</v>
      </c>
      <c r="E3045" s="7" t="s">
        <v>4952</v>
      </c>
    </row>
    <row r="3046">
      <c r="A3046" s="3" t="s">
        <v>4887</v>
      </c>
      <c r="B3046" s="4" t="s">
        <v>1040</v>
      </c>
      <c r="C3046" s="5">
        <v>9154.0</v>
      </c>
      <c r="D3046" s="8" t="str">
        <f>+38.492985°</f>
        <v>#ERROR!</v>
      </c>
      <c r="E3046" s="7" t="s">
        <v>4953</v>
      </c>
    </row>
    <row r="3047">
      <c r="A3047" s="3" t="s">
        <v>4887</v>
      </c>
      <c r="B3047" s="4" t="s">
        <v>4954</v>
      </c>
      <c r="C3047" s="5">
        <v>16583.0</v>
      </c>
      <c r="D3047" s="8" t="str">
        <f>+39.596574°</f>
        <v>#ERROR!</v>
      </c>
      <c r="E3047" s="7" t="s">
        <v>4955</v>
      </c>
    </row>
    <row r="3048">
      <c r="A3048" s="3" t="s">
        <v>4887</v>
      </c>
      <c r="B3048" s="4" t="s">
        <v>4956</v>
      </c>
      <c r="C3048" s="5">
        <v>5717.0</v>
      </c>
      <c r="D3048" s="8" t="str">
        <f>+39.020034°</f>
        <v>#ERROR!</v>
      </c>
      <c r="E3048" s="7" t="s">
        <v>4957</v>
      </c>
    </row>
    <row r="3049">
      <c r="A3049" s="3" t="s">
        <v>4887</v>
      </c>
      <c r="B3049" s="4" t="s">
        <v>3533</v>
      </c>
      <c r="C3049" s="5">
        <v>86956.0</v>
      </c>
      <c r="D3049" s="8" t="str">
        <f>+39.211679°</f>
        <v>#ERROR!</v>
      </c>
      <c r="E3049" s="7" t="s">
        <v>4958</v>
      </c>
    </row>
    <row r="3050">
      <c r="A3050" s="3" t="s">
        <v>4887</v>
      </c>
      <c r="B3050" s="4" t="s">
        <v>3158</v>
      </c>
      <c r="C3050" s="5">
        <v>23796.0</v>
      </c>
      <c r="D3050" s="8" t="str">
        <f>+37.603717°</f>
        <v>#ERROR!</v>
      </c>
      <c r="E3050" s="7" t="s">
        <v>4959</v>
      </c>
    </row>
    <row r="3051">
      <c r="A3051" s="3" t="s">
        <v>4960</v>
      </c>
      <c r="B3051" s="4" t="s">
        <v>522</v>
      </c>
      <c r="C3051" s="5">
        <v>20875.0</v>
      </c>
      <c r="D3051" s="8" t="str">
        <f>+43.973763°</f>
        <v>#ERROR!</v>
      </c>
      <c r="E3051" s="7" t="s">
        <v>4961</v>
      </c>
    </row>
    <row r="3052">
      <c r="A3052" s="3" t="s">
        <v>4960</v>
      </c>
      <c r="B3052" s="4" t="s">
        <v>3415</v>
      </c>
      <c r="C3052" s="5">
        <v>16157.0</v>
      </c>
      <c r="D3052" s="8" t="str">
        <f>+46.546291°</f>
        <v>#ERROR!</v>
      </c>
      <c r="E3052" s="7" t="s">
        <v>4962</v>
      </c>
    </row>
    <row r="3053">
      <c r="A3053" s="3" t="s">
        <v>4960</v>
      </c>
      <c r="B3053" s="4" t="s">
        <v>4963</v>
      </c>
      <c r="C3053" s="5">
        <v>45870.0</v>
      </c>
      <c r="D3053" s="8" t="str">
        <f>+45.437192°</f>
        <v>#ERROR!</v>
      </c>
      <c r="E3053" s="7" t="s">
        <v>4964</v>
      </c>
    </row>
    <row r="3054">
      <c r="A3054" s="3" t="s">
        <v>4960</v>
      </c>
      <c r="B3054" s="4" t="s">
        <v>4965</v>
      </c>
      <c r="C3054" s="5">
        <v>15014.0</v>
      </c>
      <c r="D3054" s="8" t="str">
        <f>+46.634199°</f>
        <v>#ERROR!</v>
      </c>
      <c r="E3054" s="7" t="s">
        <v>4966</v>
      </c>
    </row>
    <row r="3055">
      <c r="A3055" s="3" t="s">
        <v>4960</v>
      </c>
      <c r="B3055" s="4" t="s">
        <v>1150</v>
      </c>
      <c r="C3055" s="5">
        <v>248007.0</v>
      </c>
      <c r="D3055" s="8" t="str">
        <f>+44.473961°</f>
        <v>#ERROR!</v>
      </c>
      <c r="E3055" s="7" t="s">
        <v>4967</v>
      </c>
    </row>
    <row r="3056">
      <c r="A3056" s="3" t="s">
        <v>4960</v>
      </c>
      <c r="B3056" s="4" t="s">
        <v>2809</v>
      </c>
      <c r="C3056" s="5">
        <v>13587.0</v>
      </c>
      <c r="D3056" s="8" t="str">
        <f>+44.389759°</f>
        <v>#ERROR!</v>
      </c>
      <c r="E3056" s="7" t="s">
        <v>4968</v>
      </c>
    </row>
    <row r="3057">
      <c r="A3057" s="3" t="s">
        <v>4960</v>
      </c>
      <c r="B3057" s="4" t="s">
        <v>4969</v>
      </c>
      <c r="C3057" s="5">
        <v>15457.0</v>
      </c>
      <c r="D3057" s="8" t="str">
        <f>+45.865255°</f>
        <v>#ERROR!</v>
      </c>
      <c r="E3057" s="7" t="s">
        <v>4970</v>
      </c>
    </row>
    <row r="3058">
      <c r="A3058" s="3" t="s">
        <v>4960</v>
      </c>
      <c r="B3058" s="4" t="s">
        <v>4971</v>
      </c>
      <c r="C3058" s="5">
        <v>48971.0</v>
      </c>
      <c r="D3058" s="8" t="str">
        <f>+44.078410°</f>
        <v>#ERROR!</v>
      </c>
      <c r="E3058" s="7" t="s">
        <v>4972</v>
      </c>
    </row>
    <row r="3059">
      <c r="A3059" s="3" t="s">
        <v>4960</v>
      </c>
      <c r="B3059" s="4" t="s">
        <v>2164</v>
      </c>
      <c r="C3059" s="5">
        <v>62415.0</v>
      </c>
      <c r="D3059" s="8" t="str">
        <f>+45.069092°</f>
        <v>#ERROR!</v>
      </c>
      <c r="E3059" s="7" t="s">
        <v>4973</v>
      </c>
    </row>
    <row r="3060">
      <c r="A3060" s="3" t="s">
        <v>4960</v>
      </c>
      <c r="B3060" s="4" t="s">
        <v>291</v>
      </c>
      <c r="C3060" s="5">
        <v>34690.0</v>
      </c>
      <c r="D3060" s="8" t="str">
        <f>+44.733596°</f>
        <v>#ERROR!</v>
      </c>
      <c r="E3060" s="7" t="s">
        <v>4974</v>
      </c>
    </row>
    <row r="3061">
      <c r="A3061" s="3" t="s">
        <v>4960</v>
      </c>
      <c r="B3061" s="4" t="s">
        <v>297</v>
      </c>
      <c r="C3061" s="5">
        <v>56833.0</v>
      </c>
      <c r="D3061" s="8" t="str">
        <f>+43.471882°</f>
        <v>#ERROR!</v>
      </c>
      <c r="E3061" s="7" t="s">
        <v>4975</v>
      </c>
    </row>
    <row r="3062">
      <c r="A3062" s="3" t="s">
        <v>4960</v>
      </c>
      <c r="B3062" s="4" t="s">
        <v>303</v>
      </c>
      <c r="C3062" s="5">
        <v>16644.0</v>
      </c>
      <c r="D3062" s="8" t="str">
        <f>+43.249910°</f>
        <v>#ERROR!</v>
      </c>
      <c r="E3062" s="7" t="s">
        <v>4976</v>
      </c>
    </row>
    <row r="3063">
      <c r="A3063" s="3" t="s">
        <v>4960</v>
      </c>
      <c r="B3063" s="4" t="s">
        <v>4977</v>
      </c>
      <c r="C3063" s="5">
        <v>488073.0</v>
      </c>
      <c r="D3063" s="8" t="str">
        <f>+43.067468°</f>
        <v>#ERROR!</v>
      </c>
      <c r="E3063" s="7" t="s">
        <v>4978</v>
      </c>
    </row>
    <row r="3064">
      <c r="A3064" s="3" t="s">
        <v>4960</v>
      </c>
      <c r="B3064" s="4" t="s">
        <v>863</v>
      </c>
      <c r="C3064" s="5">
        <v>88759.0</v>
      </c>
      <c r="D3064" s="8" t="str">
        <f>+43.422706°</f>
        <v>#ERROR!</v>
      </c>
      <c r="E3064" s="7" t="s">
        <v>4979</v>
      </c>
    </row>
    <row r="3065">
      <c r="A3065" s="3" t="s">
        <v>4960</v>
      </c>
      <c r="B3065" s="4" t="s">
        <v>4980</v>
      </c>
      <c r="C3065" s="5">
        <v>27785.0</v>
      </c>
      <c r="D3065" s="8" t="str">
        <f>+45.067808°</f>
        <v>#ERROR!</v>
      </c>
      <c r="E3065" s="7" t="s">
        <v>4981</v>
      </c>
    </row>
    <row r="3066">
      <c r="A3066" s="3" t="s">
        <v>4960</v>
      </c>
      <c r="B3066" s="4" t="s">
        <v>558</v>
      </c>
      <c r="C3066" s="5">
        <v>44159.0</v>
      </c>
      <c r="D3066" s="8" t="str">
        <f>+46.463316°</f>
        <v>#ERROR!</v>
      </c>
      <c r="E3066" s="7" t="s">
        <v>4982</v>
      </c>
    </row>
    <row r="3067">
      <c r="A3067" s="3" t="s">
        <v>4960</v>
      </c>
      <c r="B3067" s="4" t="s">
        <v>3349</v>
      </c>
      <c r="C3067" s="5">
        <v>43857.0</v>
      </c>
      <c r="D3067" s="8" t="str">
        <f>+44.947741°</f>
        <v>#ERROR!</v>
      </c>
      <c r="E3067" s="7" t="s">
        <v>4983</v>
      </c>
    </row>
    <row r="3068">
      <c r="A3068" s="3" t="s">
        <v>4960</v>
      </c>
      <c r="B3068" s="4" t="s">
        <v>4984</v>
      </c>
      <c r="C3068" s="5">
        <v>98736.0</v>
      </c>
      <c r="D3068" s="8" t="str">
        <f>+44.726355°</f>
        <v>#ERROR!</v>
      </c>
      <c r="E3068" s="7" t="s">
        <v>4985</v>
      </c>
    </row>
    <row r="3069">
      <c r="A3069" s="3" t="s">
        <v>4960</v>
      </c>
      <c r="B3069" s="4" t="s">
        <v>3854</v>
      </c>
      <c r="C3069" s="5">
        <v>4423.0</v>
      </c>
      <c r="D3069" s="8" t="str">
        <f>+45.849646°</f>
        <v>#ERROR!</v>
      </c>
      <c r="E3069" s="7" t="s">
        <v>4986</v>
      </c>
    </row>
    <row r="3070">
      <c r="A3070" s="3" t="s">
        <v>4960</v>
      </c>
      <c r="B3070" s="4" t="s">
        <v>4987</v>
      </c>
      <c r="C3070" s="5">
        <v>101633.0</v>
      </c>
      <c r="D3070" s="8" t="str">
        <f>+43.754722°</f>
        <v>#ERROR!</v>
      </c>
      <c r="E3070" s="7" t="s">
        <v>4988</v>
      </c>
    </row>
    <row r="3071">
      <c r="A3071" s="3" t="s">
        <v>4960</v>
      </c>
      <c r="B3071" s="4" t="s">
        <v>3748</v>
      </c>
      <c r="C3071" s="5">
        <v>9304.0</v>
      </c>
      <c r="D3071" s="8" t="str">
        <f>+45.666882°</f>
        <v>#ERROR!</v>
      </c>
      <c r="E3071" s="7" t="s">
        <v>4989</v>
      </c>
    </row>
    <row r="3072">
      <c r="A3072" s="3" t="s">
        <v>4960</v>
      </c>
      <c r="B3072" s="4" t="s">
        <v>321</v>
      </c>
      <c r="C3072" s="5">
        <v>51208.0</v>
      </c>
      <c r="D3072" s="8" t="str">
        <f>+42.870062°</f>
        <v>#ERROR!</v>
      </c>
      <c r="E3072" s="7" t="s">
        <v>4990</v>
      </c>
    </row>
    <row r="3073">
      <c r="A3073" s="3" t="s">
        <v>4960</v>
      </c>
      <c r="B3073" s="4" t="s">
        <v>1819</v>
      </c>
      <c r="C3073" s="5">
        <v>36842.0</v>
      </c>
      <c r="D3073" s="8" t="str">
        <f>+42.677728°</f>
        <v>#ERROR!</v>
      </c>
      <c r="E3073" s="7" t="s">
        <v>4991</v>
      </c>
    </row>
    <row r="3074">
      <c r="A3074" s="3" t="s">
        <v>4960</v>
      </c>
      <c r="B3074" s="4" t="s">
        <v>4992</v>
      </c>
      <c r="C3074" s="5">
        <v>19051.0</v>
      </c>
      <c r="D3074" s="8" t="str">
        <f>+43.761410°</f>
        <v>#ERROR!</v>
      </c>
      <c r="E3074" s="7" t="s">
        <v>4993</v>
      </c>
    </row>
    <row r="3075">
      <c r="A3075" s="3" t="s">
        <v>4960</v>
      </c>
      <c r="B3075" s="4" t="s">
        <v>1500</v>
      </c>
      <c r="C3075" s="5">
        <v>23687.0</v>
      </c>
      <c r="D3075" s="8" t="str">
        <f>+43.001021°</f>
        <v>#ERROR!</v>
      </c>
      <c r="E3075" s="7" t="s">
        <v>4994</v>
      </c>
    </row>
    <row r="3076">
      <c r="A3076" s="3" t="s">
        <v>4960</v>
      </c>
      <c r="B3076" s="4" t="s">
        <v>2197</v>
      </c>
      <c r="C3076" s="5">
        <v>5916.0</v>
      </c>
      <c r="D3076" s="8" t="str">
        <f>+46.326550°</f>
        <v>#ERROR!</v>
      </c>
      <c r="E3076" s="7" t="s">
        <v>4995</v>
      </c>
    </row>
    <row r="3077">
      <c r="A3077" s="3" t="s">
        <v>4960</v>
      </c>
      <c r="B3077" s="4" t="s">
        <v>108</v>
      </c>
      <c r="C3077" s="5">
        <v>20449.0</v>
      </c>
      <c r="D3077" s="8" t="str">
        <f>+44.324895°</f>
        <v>#ERROR!</v>
      </c>
      <c r="E3077" s="7" t="s">
        <v>4996</v>
      </c>
    </row>
    <row r="3078">
      <c r="A3078" s="3" t="s">
        <v>4960</v>
      </c>
      <c r="B3078" s="4" t="s">
        <v>111</v>
      </c>
      <c r="C3078" s="5">
        <v>83686.0</v>
      </c>
      <c r="D3078" s="8" t="str">
        <f>+43.013807°</f>
        <v>#ERROR!</v>
      </c>
      <c r="E3078" s="7" t="s">
        <v>4997</v>
      </c>
    </row>
    <row r="3079">
      <c r="A3079" s="3" t="s">
        <v>4960</v>
      </c>
      <c r="B3079" s="4" t="s">
        <v>204</v>
      </c>
      <c r="C3079" s="5">
        <v>26664.0</v>
      </c>
      <c r="D3079" s="8" t="str">
        <f>+43.932836°</f>
        <v>#ERROR!</v>
      </c>
      <c r="E3079" s="7" t="s">
        <v>4998</v>
      </c>
    </row>
    <row r="3080">
      <c r="A3080" s="3" t="s">
        <v>4960</v>
      </c>
      <c r="B3080" s="4" t="s">
        <v>4999</v>
      </c>
      <c r="C3080" s="5">
        <v>166426.0</v>
      </c>
      <c r="D3080" s="8" t="str">
        <f>+42.579703°</f>
        <v>#ERROR!</v>
      </c>
      <c r="E3080" s="7" t="s">
        <v>5000</v>
      </c>
    </row>
    <row r="3081">
      <c r="A3081" s="3" t="s">
        <v>4960</v>
      </c>
      <c r="B3081" s="4" t="s">
        <v>5001</v>
      </c>
      <c r="C3081" s="5">
        <v>20574.0</v>
      </c>
      <c r="D3081" s="8" t="str">
        <f>+44.500949°</f>
        <v>#ERROR!</v>
      </c>
      <c r="E3081" s="7" t="s">
        <v>5002</v>
      </c>
    </row>
    <row r="3082">
      <c r="A3082" s="3" t="s">
        <v>4960</v>
      </c>
      <c r="B3082" s="4" t="s">
        <v>5003</v>
      </c>
      <c r="C3082" s="5">
        <v>114638.0</v>
      </c>
      <c r="D3082" s="8" t="str">
        <f>+43.908222°</f>
        <v>#ERROR!</v>
      </c>
      <c r="E3082" s="7" t="s">
        <v>5004</v>
      </c>
    </row>
    <row r="3083">
      <c r="A3083" s="3" t="s">
        <v>4960</v>
      </c>
      <c r="B3083" s="4" t="s">
        <v>338</v>
      </c>
      <c r="C3083" s="5">
        <v>16836.0</v>
      </c>
      <c r="D3083" s="8" t="str">
        <f>+42.655578°</f>
        <v>#ERROR!</v>
      </c>
      <c r="E3083" s="7" t="s">
        <v>5005</v>
      </c>
    </row>
    <row r="3084">
      <c r="A3084" s="3" t="s">
        <v>4960</v>
      </c>
      <c r="B3084" s="4" t="s">
        <v>5006</v>
      </c>
      <c r="C3084" s="5">
        <v>19977.0</v>
      </c>
      <c r="D3084" s="8" t="str">
        <f>+45.259204°</f>
        <v>#ERROR!</v>
      </c>
      <c r="E3084" s="7" t="s">
        <v>5007</v>
      </c>
    </row>
    <row r="3085">
      <c r="A3085" s="3" t="s">
        <v>4960</v>
      </c>
      <c r="B3085" s="4" t="s">
        <v>342</v>
      </c>
      <c r="C3085" s="5">
        <v>28743.0</v>
      </c>
      <c r="D3085" s="8" t="str">
        <f>+45.338319°</f>
        <v>#ERROR!</v>
      </c>
      <c r="E3085" s="7" t="s">
        <v>5008</v>
      </c>
    </row>
    <row r="3086">
      <c r="A3086" s="3" t="s">
        <v>4960</v>
      </c>
      <c r="B3086" s="4" t="s">
        <v>5009</v>
      </c>
      <c r="C3086" s="5">
        <v>81442.0</v>
      </c>
      <c r="D3086" s="8" t="str">
        <f>+44.105108°</f>
        <v>#ERROR!</v>
      </c>
      <c r="E3086" s="7" t="s">
        <v>5010</v>
      </c>
    </row>
    <row r="3087">
      <c r="A3087" s="3" t="s">
        <v>4960</v>
      </c>
      <c r="B3087" s="4" t="s">
        <v>5011</v>
      </c>
      <c r="C3087" s="5">
        <v>134063.0</v>
      </c>
      <c r="D3087" s="8" t="str">
        <f>+44.898036°</f>
        <v>#ERROR!</v>
      </c>
      <c r="E3087" s="7" t="s">
        <v>5012</v>
      </c>
    </row>
    <row r="3088">
      <c r="A3088" s="3" t="s">
        <v>4960</v>
      </c>
      <c r="B3088" s="4" t="s">
        <v>5013</v>
      </c>
      <c r="C3088" s="5">
        <v>41749.0</v>
      </c>
      <c r="D3088" s="8" t="str">
        <f>+45.346899°</f>
        <v>#ERROR!</v>
      </c>
      <c r="E3088" s="7" t="s">
        <v>5014</v>
      </c>
    </row>
    <row r="3089">
      <c r="A3089" s="3" t="s">
        <v>4960</v>
      </c>
      <c r="B3089" s="4" t="s">
        <v>2225</v>
      </c>
      <c r="C3089" s="5">
        <v>15404.0</v>
      </c>
      <c r="D3089" s="8" t="str">
        <f>+43.826053°</f>
        <v>#ERROR!</v>
      </c>
      <c r="E3089" s="7" t="s">
        <v>5015</v>
      </c>
    </row>
    <row r="3090">
      <c r="A3090" s="3" t="s">
        <v>4960</v>
      </c>
      <c r="B3090" s="4" t="s">
        <v>2230</v>
      </c>
      <c r="C3090" s="5">
        <v>4232.0</v>
      </c>
      <c r="D3090" s="8" t="str">
        <f>+44.991304°</f>
        <v>#ERROR!</v>
      </c>
      <c r="E3090" s="7" t="s">
        <v>5016</v>
      </c>
    </row>
    <row r="3091">
      <c r="A3091" s="3" t="s">
        <v>4960</v>
      </c>
      <c r="B3091" s="4" t="s">
        <v>5017</v>
      </c>
      <c r="C3091" s="5">
        <v>947735.0</v>
      </c>
      <c r="D3091" s="8" t="str">
        <f>+43.017655°</f>
        <v>#ERROR!</v>
      </c>
      <c r="E3091" s="7" t="s">
        <v>5018</v>
      </c>
    </row>
    <row r="3092">
      <c r="A3092" s="3" t="s">
        <v>4960</v>
      </c>
      <c r="B3092" s="4" t="s">
        <v>147</v>
      </c>
      <c r="C3092" s="5">
        <v>44673.0</v>
      </c>
      <c r="D3092" s="8" t="str">
        <f>+43.945175°</f>
        <v>#ERROR!</v>
      </c>
      <c r="E3092" s="7" t="s">
        <v>5019</v>
      </c>
    </row>
    <row r="3093">
      <c r="A3093" s="3" t="s">
        <v>4960</v>
      </c>
      <c r="B3093" s="4" t="s">
        <v>5020</v>
      </c>
      <c r="C3093" s="5">
        <v>37660.0</v>
      </c>
      <c r="D3093" s="8" t="str">
        <f>+44.996575°</f>
        <v>#ERROR!</v>
      </c>
      <c r="E3093" s="7" t="s">
        <v>5021</v>
      </c>
    </row>
    <row r="3094">
      <c r="A3094" s="3" t="s">
        <v>4960</v>
      </c>
      <c r="B3094" s="4" t="s">
        <v>1126</v>
      </c>
      <c r="C3094" s="5">
        <v>35998.0</v>
      </c>
      <c r="D3094" s="8" t="str">
        <f>+45.713791°</f>
        <v>#ERROR!</v>
      </c>
      <c r="E3094" s="7" t="s">
        <v>5022</v>
      </c>
    </row>
    <row r="3095">
      <c r="A3095" s="3" t="s">
        <v>4960</v>
      </c>
      <c r="B3095" s="4" t="s">
        <v>5023</v>
      </c>
      <c r="C3095" s="5">
        <v>176695.0</v>
      </c>
      <c r="D3095" s="8" t="str">
        <f>+44.418226°</f>
        <v>#ERROR!</v>
      </c>
      <c r="E3095" s="7" t="s">
        <v>5024</v>
      </c>
    </row>
    <row r="3096">
      <c r="A3096" s="3" t="s">
        <v>4960</v>
      </c>
      <c r="B3096" s="4" t="s">
        <v>5025</v>
      </c>
      <c r="C3096" s="5">
        <v>86395.0</v>
      </c>
      <c r="D3096" s="8" t="str">
        <f>+43.360715°</f>
        <v>#ERROR!</v>
      </c>
      <c r="E3096" s="7" t="s">
        <v>5026</v>
      </c>
    </row>
    <row r="3097">
      <c r="A3097" s="3" t="s">
        <v>4960</v>
      </c>
      <c r="B3097" s="4" t="s">
        <v>5027</v>
      </c>
      <c r="C3097" s="5">
        <v>7469.0</v>
      </c>
      <c r="D3097" s="8" t="str">
        <f>+44.627436°</f>
        <v>#ERROR!</v>
      </c>
      <c r="E3097" s="7" t="s">
        <v>5028</v>
      </c>
    </row>
    <row r="3098">
      <c r="A3098" s="3" t="s">
        <v>4960</v>
      </c>
      <c r="B3098" s="4" t="s">
        <v>974</v>
      </c>
      <c r="C3098" s="5">
        <v>41019.0</v>
      </c>
      <c r="D3098" s="8" t="str">
        <f>+44.725337°</f>
        <v>#ERROR!</v>
      </c>
      <c r="E3098" s="7" t="s">
        <v>5029</v>
      </c>
    </row>
    <row r="3099">
      <c r="A3099" s="3" t="s">
        <v>4960</v>
      </c>
      <c r="B3099" s="4" t="s">
        <v>370</v>
      </c>
      <c r="C3099" s="5">
        <v>44205.0</v>
      </c>
      <c r="D3099" s="8" t="str">
        <f>+45.468030°</f>
        <v>#ERROR!</v>
      </c>
      <c r="E3099" s="7" t="s">
        <v>5030</v>
      </c>
    </row>
    <row r="3100">
      <c r="A3100" s="3" t="s">
        <v>4960</v>
      </c>
      <c r="B3100" s="4" t="s">
        <v>3504</v>
      </c>
      <c r="C3100" s="5">
        <v>70019.0</v>
      </c>
      <c r="D3100" s="8" t="str">
        <f>+44.476246°</f>
        <v>#ERROR!</v>
      </c>
      <c r="E3100" s="7" t="s">
        <v>5031</v>
      </c>
    </row>
    <row r="3101">
      <c r="A3101" s="3" t="s">
        <v>4960</v>
      </c>
      <c r="B3101" s="4" t="s">
        <v>5032</v>
      </c>
      <c r="C3101" s="5">
        <v>14159.0</v>
      </c>
      <c r="D3101" s="8" t="str">
        <f>+45.679072°</f>
        <v>#ERROR!</v>
      </c>
      <c r="E3101" s="7" t="s">
        <v>5033</v>
      </c>
    </row>
    <row r="3102">
      <c r="A3102" s="3" t="s">
        <v>4960</v>
      </c>
      <c r="B3102" s="4" t="s">
        <v>5034</v>
      </c>
      <c r="C3102" s="5">
        <v>195408.0</v>
      </c>
      <c r="D3102" s="8" t="str">
        <f>+42.754075°</f>
        <v>#ERROR!</v>
      </c>
      <c r="E3102" s="7" t="s">
        <v>5035</v>
      </c>
    </row>
    <row r="3103">
      <c r="A3103" s="3" t="s">
        <v>4960</v>
      </c>
      <c r="B3103" s="4" t="s">
        <v>1263</v>
      </c>
      <c r="C3103" s="5">
        <v>18021.0</v>
      </c>
      <c r="D3103" s="8" t="str">
        <f>+43.376199°</f>
        <v>#ERROR!</v>
      </c>
      <c r="E3103" s="7" t="s">
        <v>5036</v>
      </c>
    </row>
    <row r="3104">
      <c r="A3104" s="3" t="s">
        <v>4960</v>
      </c>
      <c r="B3104" s="4" t="s">
        <v>2393</v>
      </c>
      <c r="C3104" s="5">
        <v>160331.0</v>
      </c>
      <c r="D3104" s="8" t="str">
        <f>+42.669931°</f>
        <v>#ERROR!</v>
      </c>
      <c r="E3104" s="7" t="s">
        <v>5037</v>
      </c>
    </row>
    <row r="3105">
      <c r="A3105" s="3" t="s">
        <v>4960</v>
      </c>
      <c r="B3105" s="4" t="s">
        <v>4444</v>
      </c>
      <c r="C3105" s="5">
        <v>14755.0</v>
      </c>
      <c r="D3105" s="8" t="str">
        <f>+45.472734°</f>
        <v>#ERROR!</v>
      </c>
      <c r="E3105" s="7" t="s">
        <v>5038</v>
      </c>
    </row>
    <row r="3106">
      <c r="A3106" s="3" t="s">
        <v>4960</v>
      </c>
      <c r="B3106" s="4" t="s">
        <v>5039</v>
      </c>
      <c r="C3106" s="5">
        <v>84345.0</v>
      </c>
      <c r="D3106" s="8" t="str">
        <f>+45.028959°</f>
        <v>#ERROR!</v>
      </c>
      <c r="E3106" s="7" t="s">
        <v>5040</v>
      </c>
    </row>
    <row r="3107">
      <c r="A3107" s="3" t="s">
        <v>4960</v>
      </c>
      <c r="B3107" s="4" t="s">
        <v>5041</v>
      </c>
      <c r="C3107" s="5">
        <v>61976.0</v>
      </c>
      <c r="D3107" s="8" t="str">
        <f>+43.427998°</f>
        <v>#ERROR!</v>
      </c>
      <c r="E3107" s="7" t="s">
        <v>5042</v>
      </c>
    </row>
    <row r="3108">
      <c r="A3108" s="3" t="s">
        <v>4960</v>
      </c>
      <c r="B3108" s="4" t="s">
        <v>5043</v>
      </c>
      <c r="C3108" s="5">
        <v>16557.0</v>
      </c>
      <c r="D3108" s="8" t="str">
        <f>+45.864913°</f>
        <v>#ERROR!</v>
      </c>
      <c r="E3108" s="7" t="s">
        <v>5044</v>
      </c>
    </row>
    <row r="3109">
      <c r="A3109" s="3" t="s">
        <v>4960</v>
      </c>
      <c r="B3109" s="4" t="s">
        <v>5045</v>
      </c>
      <c r="C3109" s="5">
        <v>41949.0</v>
      </c>
      <c r="D3109" s="8" t="str">
        <f>+44.789641°</f>
        <v>#ERROR!</v>
      </c>
      <c r="E3109" s="7" t="s">
        <v>5046</v>
      </c>
    </row>
    <row r="3110">
      <c r="A3110" s="3" t="s">
        <v>4960</v>
      </c>
      <c r="B3110" s="4" t="s">
        <v>5047</v>
      </c>
      <c r="C3110" s="5">
        <v>115507.0</v>
      </c>
      <c r="D3110" s="8" t="str">
        <f>+43.746002°</f>
        <v>#ERROR!</v>
      </c>
      <c r="E3110" s="7" t="s">
        <v>5048</v>
      </c>
    </row>
    <row r="3111">
      <c r="A3111" s="3" t="s">
        <v>4960</v>
      </c>
      <c r="B3111" s="4" t="s">
        <v>775</v>
      </c>
      <c r="C3111" s="5">
        <v>20689.0</v>
      </c>
      <c r="D3111" s="8" t="str">
        <f>+45.211656°</f>
        <v>#ERROR!</v>
      </c>
      <c r="E3111" s="7" t="s">
        <v>5049</v>
      </c>
    </row>
    <row r="3112">
      <c r="A3112" s="3" t="s">
        <v>4960</v>
      </c>
      <c r="B3112" s="4" t="s">
        <v>5050</v>
      </c>
      <c r="C3112" s="5">
        <v>28816.0</v>
      </c>
      <c r="D3112" s="8" t="str">
        <f>+44.303050°</f>
        <v>#ERROR!</v>
      </c>
      <c r="E3112" s="7" t="s">
        <v>5051</v>
      </c>
    </row>
    <row r="3113">
      <c r="A3113" s="3" t="s">
        <v>4960</v>
      </c>
      <c r="B3113" s="4" t="s">
        <v>2028</v>
      </c>
      <c r="C3113" s="5">
        <v>29773.0</v>
      </c>
      <c r="D3113" s="8" t="str">
        <f>+43.599858°</f>
        <v>#ERROR!</v>
      </c>
      <c r="E3113" s="7" t="s">
        <v>5052</v>
      </c>
    </row>
    <row r="3114">
      <c r="A3114" s="3" t="s">
        <v>4960</v>
      </c>
      <c r="B3114" s="4" t="s">
        <v>5053</v>
      </c>
      <c r="C3114" s="5">
        <v>21430.0</v>
      </c>
      <c r="D3114" s="8" t="str">
        <f>+46.049848°</f>
        <v>#ERROR!</v>
      </c>
      <c r="E3114" s="7" t="s">
        <v>5054</v>
      </c>
    </row>
    <row r="3115">
      <c r="A3115" s="3" t="s">
        <v>4960</v>
      </c>
      <c r="B3115" s="4" t="s">
        <v>3994</v>
      </c>
      <c r="C3115" s="5">
        <v>102228.0</v>
      </c>
      <c r="D3115" s="8" t="str">
        <f>+42.668110°</f>
        <v>#ERROR!</v>
      </c>
      <c r="E3115" s="7" t="s">
        <v>5055</v>
      </c>
    </row>
    <row r="3116">
      <c r="A3116" s="3" t="s">
        <v>4960</v>
      </c>
      <c r="B3116" s="4" t="s">
        <v>5056</v>
      </c>
      <c r="C3116" s="5">
        <v>15911.0</v>
      </c>
      <c r="D3116" s="8" t="str">
        <f>+45.892463°</f>
        <v>#ERROR!</v>
      </c>
      <c r="E3116" s="7" t="s">
        <v>5057</v>
      </c>
    </row>
    <row r="3117">
      <c r="A3117" s="3" t="s">
        <v>4960</v>
      </c>
      <c r="B3117" s="4" t="s">
        <v>177</v>
      </c>
      <c r="C3117" s="5">
        <v>131887.0</v>
      </c>
      <c r="D3117" s="8" t="str">
        <f>+43.391156°</f>
        <v>#ERROR!</v>
      </c>
      <c r="E3117" s="7" t="s">
        <v>5058</v>
      </c>
    </row>
    <row r="3118">
      <c r="A3118" s="3" t="s">
        <v>4960</v>
      </c>
      <c r="B3118" s="4" t="s">
        <v>5059</v>
      </c>
      <c r="C3118" s="5">
        <v>389891.0</v>
      </c>
      <c r="D3118" s="8" t="str">
        <f>+43.019308°</f>
        <v>#ERROR!</v>
      </c>
      <c r="E3118" s="7" t="s">
        <v>5060</v>
      </c>
    </row>
    <row r="3119">
      <c r="A3119" s="3" t="s">
        <v>4960</v>
      </c>
      <c r="B3119" s="4" t="s">
        <v>5061</v>
      </c>
      <c r="C3119" s="5">
        <v>52410.0</v>
      </c>
      <c r="D3119" s="8" t="str">
        <f>+44.478004°</f>
        <v>#ERROR!</v>
      </c>
      <c r="E3119" s="7" t="s">
        <v>5062</v>
      </c>
    </row>
    <row r="3120">
      <c r="A3120" s="3" t="s">
        <v>4960</v>
      </c>
      <c r="B3120" s="4" t="s">
        <v>5063</v>
      </c>
      <c r="C3120" s="5">
        <v>24496.0</v>
      </c>
      <c r="D3120" s="8" t="str">
        <f>+44.112825°</f>
        <v>#ERROR!</v>
      </c>
      <c r="E3120" s="7" t="s">
        <v>5064</v>
      </c>
    </row>
    <row r="3121">
      <c r="A3121" s="3" t="s">
        <v>4960</v>
      </c>
      <c r="B3121" s="4" t="s">
        <v>1296</v>
      </c>
      <c r="C3121" s="5">
        <v>166994.0</v>
      </c>
      <c r="D3121" s="8" t="str">
        <f>+44.085707°</f>
        <v>#ERROR!</v>
      </c>
      <c r="E3121" s="7" t="s">
        <v>5065</v>
      </c>
    </row>
    <row r="3122">
      <c r="A3122" s="3" t="s">
        <v>4960</v>
      </c>
      <c r="B3122" s="4" t="s">
        <v>3533</v>
      </c>
      <c r="C3122" s="5">
        <v>74749.0</v>
      </c>
      <c r="D3122" s="8" t="str">
        <f>+44.461413°</f>
        <v>#ERROR!</v>
      </c>
      <c r="E3122" s="7" t="s">
        <v>5066</v>
      </c>
    </row>
    <row r="3123">
      <c r="A3123" s="3" t="s">
        <v>5067</v>
      </c>
      <c r="B3123" s="4" t="s">
        <v>3068</v>
      </c>
      <c r="C3123" s="5">
        <v>36299.0</v>
      </c>
      <c r="D3123" s="8" t="str">
        <f>+41.665514°</f>
        <v>#ERROR!</v>
      </c>
      <c r="E3123" s="7" t="s">
        <v>5068</v>
      </c>
    </row>
    <row r="3124">
      <c r="A3124" s="3" t="s">
        <v>5067</v>
      </c>
      <c r="B3124" s="4" t="s">
        <v>2705</v>
      </c>
      <c r="C3124" s="5">
        <v>11668.0</v>
      </c>
      <c r="D3124" s="8" t="str">
        <f>+44.525654°</f>
        <v>#ERROR!</v>
      </c>
      <c r="E3124" s="7" t="s">
        <v>5069</v>
      </c>
    </row>
    <row r="3125">
      <c r="A3125" s="3" t="s">
        <v>5067</v>
      </c>
      <c r="B3125" s="4" t="s">
        <v>1783</v>
      </c>
      <c r="C3125" s="5">
        <v>46133.0</v>
      </c>
      <c r="D3125" s="8" t="str">
        <f>+44.241321°</f>
        <v>#ERROR!</v>
      </c>
      <c r="E3125" s="7" t="s">
        <v>5070</v>
      </c>
    </row>
    <row r="3126">
      <c r="A3126" s="3" t="s">
        <v>5067</v>
      </c>
      <c r="B3126" s="4" t="s">
        <v>2710</v>
      </c>
      <c r="C3126" s="5">
        <v>15885.0</v>
      </c>
      <c r="D3126" s="8" t="str">
        <f>+41.703590°</f>
        <v>#ERROR!</v>
      </c>
      <c r="E3126" s="7" t="s">
        <v>5071</v>
      </c>
    </row>
    <row r="3127">
      <c r="A3127" s="3" t="s">
        <v>5067</v>
      </c>
      <c r="B3127" s="4" t="s">
        <v>5072</v>
      </c>
      <c r="C3127" s="5">
        <v>13833.0</v>
      </c>
      <c r="D3127" s="8" t="str">
        <f>+42.972839°</f>
        <v>#ERROR!</v>
      </c>
      <c r="E3127" s="7" t="s">
        <v>5073</v>
      </c>
    </row>
    <row r="3128">
      <c r="A3128" s="3" t="s">
        <v>5067</v>
      </c>
      <c r="B3128" s="4" t="s">
        <v>3665</v>
      </c>
      <c r="C3128" s="5">
        <v>7083.0</v>
      </c>
      <c r="D3128" s="8" t="str">
        <f>+44.589266°</f>
        <v>#ERROR!</v>
      </c>
      <c r="E3128" s="7" t="s">
        <v>5074</v>
      </c>
    </row>
    <row r="3129">
      <c r="A3129" s="3" t="s">
        <v>5067</v>
      </c>
      <c r="B3129" s="4" t="s">
        <v>566</v>
      </c>
      <c r="C3129" s="5">
        <v>40123.0</v>
      </c>
      <c r="D3129" s="8" t="str">
        <f>+43.055303°</f>
        <v>#ERROR!</v>
      </c>
      <c r="E3129" s="7" t="s">
        <v>5075</v>
      </c>
    </row>
    <row r="3130">
      <c r="A3130" s="3" t="s">
        <v>5067</v>
      </c>
      <c r="B3130" s="4" t="s">
        <v>5076</v>
      </c>
      <c r="C3130" s="5">
        <v>13249.0</v>
      </c>
      <c r="D3130" s="8" t="str">
        <f>+42.089580°</f>
        <v>#ERROR!</v>
      </c>
      <c r="E3130" s="7" t="s">
        <v>5077</v>
      </c>
    </row>
    <row r="3131">
      <c r="A3131" s="3" t="s">
        <v>5067</v>
      </c>
      <c r="B3131" s="4" t="s">
        <v>5078</v>
      </c>
      <c r="C3131" s="5">
        <v>4812.0</v>
      </c>
      <c r="D3131" s="8" t="str">
        <f>+43.720871°</f>
        <v>#ERROR!</v>
      </c>
      <c r="E3131" s="7" t="s">
        <v>5079</v>
      </c>
    </row>
    <row r="3132">
      <c r="A3132" s="3" t="s">
        <v>5067</v>
      </c>
      <c r="B3132" s="4" t="s">
        <v>336</v>
      </c>
      <c r="C3132" s="5">
        <v>8569.0</v>
      </c>
      <c r="D3132" s="8" t="str">
        <f>+44.044048°</f>
        <v>#ERROR!</v>
      </c>
      <c r="E3132" s="7" t="s">
        <v>5080</v>
      </c>
    </row>
    <row r="3133">
      <c r="A3133" s="3" t="s">
        <v>5067</v>
      </c>
      <c r="B3133" s="4" t="s">
        <v>5081</v>
      </c>
      <c r="C3133" s="5">
        <v>91738.0</v>
      </c>
      <c r="D3133" s="8" t="str">
        <f>+41.292830°</f>
        <v>#ERROR!</v>
      </c>
      <c r="E3133" s="7" t="s">
        <v>5082</v>
      </c>
    </row>
    <row r="3134">
      <c r="A3134" s="3" t="s">
        <v>5067</v>
      </c>
      <c r="B3134" s="4" t="s">
        <v>342</v>
      </c>
      <c r="C3134" s="5">
        <v>18106.0</v>
      </c>
      <c r="D3134" s="8" t="str">
        <f>+42.228788°</f>
        <v>#ERROR!</v>
      </c>
      <c r="E3134" s="7" t="s">
        <v>5083</v>
      </c>
    </row>
    <row r="3135">
      <c r="A3135" s="3" t="s">
        <v>5067</v>
      </c>
      <c r="B3135" s="4" t="s">
        <v>5084</v>
      </c>
      <c r="C3135" s="5">
        <v>75450.0</v>
      </c>
      <c r="D3135" s="8" t="str">
        <f>+42.973641°</f>
        <v>#ERROR!</v>
      </c>
      <c r="E3135" s="7" t="s">
        <v>5085</v>
      </c>
    </row>
    <row r="3136">
      <c r="A3136" s="3" t="s">
        <v>5067</v>
      </c>
      <c r="B3136" s="4" t="s">
        <v>5086</v>
      </c>
      <c r="C3136" s="5">
        <v>2484.0</v>
      </c>
      <c r="D3136" s="8" t="str">
        <f>+43.062159°</f>
        <v>#ERROR!</v>
      </c>
      <c r="E3136" s="7" t="s">
        <v>5087</v>
      </c>
    </row>
    <row r="3137">
      <c r="A3137" s="3" t="s">
        <v>5067</v>
      </c>
      <c r="B3137" s="4" t="s">
        <v>610</v>
      </c>
      <c r="C3137" s="5">
        <v>28205.0</v>
      </c>
      <c r="D3137" s="8" t="str">
        <f>+44.492387°</f>
        <v>#ERROR!</v>
      </c>
      <c r="E3137" s="7" t="s">
        <v>5088</v>
      </c>
    </row>
    <row r="3138">
      <c r="A3138" s="3" t="s">
        <v>5067</v>
      </c>
      <c r="B3138" s="4" t="s">
        <v>2657</v>
      </c>
      <c r="C3138" s="5">
        <v>8667.0</v>
      </c>
      <c r="D3138" s="8" t="str">
        <f>+42.130319°</f>
        <v>#ERROR!</v>
      </c>
      <c r="E3138" s="7" t="s">
        <v>5089</v>
      </c>
    </row>
    <row r="3139">
      <c r="A3139" s="3" t="s">
        <v>5067</v>
      </c>
      <c r="B3139" s="4" t="s">
        <v>1722</v>
      </c>
      <c r="C3139" s="5">
        <v>29116.0</v>
      </c>
      <c r="D3139" s="8" t="str">
        <f>+44.781369°</f>
        <v>#ERROR!</v>
      </c>
      <c r="E3139" s="7" t="s">
        <v>5090</v>
      </c>
    </row>
    <row r="3140">
      <c r="A3140" s="3" t="s">
        <v>5067</v>
      </c>
      <c r="B3140" s="4" t="s">
        <v>5091</v>
      </c>
      <c r="C3140" s="5">
        <v>10247.0</v>
      </c>
      <c r="D3140" s="8" t="str">
        <f>+42.767928°</f>
        <v>#ERROR!</v>
      </c>
      <c r="E3140" s="7" t="s">
        <v>5092</v>
      </c>
    </row>
    <row r="3141">
      <c r="A3141" s="3" t="s">
        <v>5067</v>
      </c>
      <c r="B3141" s="4" t="s">
        <v>5093</v>
      </c>
      <c r="C3141" s="5">
        <v>43806.0</v>
      </c>
      <c r="D3141" s="8" t="str">
        <f>+41.660339°</f>
        <v>#ERROR!</v>
      </c>
      <c r="E3141" s="7" t="s">
        <v>5094</v>
      </c>
    </row>
    <row r="3142">
      <c r="A3142" s="3" t="s">
        <v>5067</v>
      </c>
      <c r="B3142" s="4" t="s">
        <v>1136</v>
      </c>
      <c r="C3142" s="5">
        <v>21294.0</v>
      </c>
      <c r="D3142" s="8" t="str">
        <f>+44.049321°</f>
        <v>#ERROR!</v>
      </c>
      <c r="E3142" s="7" t="s">
        <v>5095</v>
      </c>
    </row>
    <row r="3143">
      <c r="A3143" s="3" t="s">
        <v>5067</v>
      </c>
      <c r="B3143" s="4" t="s">
        <v>5096</v>
      </c>
      <c r="C3143" s="5">
        <v>21118.0</v>
      </c>
      <c r="D3143" s="8" t="str">
        <f>+41.284726°</f>
        <v>#ERROR!</v>
      </c>
      <c r="E3143" s="7" t="s">
        <v>5097</v>
      </c>
    </row>
    <row r="3144">
      <c r="A3144" s="3" t="s">
        <v>5067</v>
      </c>
      <c r="B3144" s="4" t="s">
        <v>5098</v>
      </c>
      <c r="C3144" s="5">
        <v>8533.0</v>
      </c>
      <c r="D3144" s="8" t="str">
        <f>+43.878831°</f>
        <v>#ERROR!</v>
      </c>
      <c r="E3144" s="7" t="s">
        <v>5099</v>
      </c>
    </row>
    <row r="3145">
      <c r="A3145" s="3" t="s">
        <v>5067</v>
      </c>
      <c r="B3145" s="4" t="s">
        <v>5100</v>
      </c>
      <c r="C3145" s="5">
        <v>7208.0</v>
      </c>
      <c r="D3145" s="8" t="str">
        <f>+43.846213°</f>
        <v>#ERROR!</v>
      </c>
      <c r="E3145" s="7" t="s">
        <v>5101</v>
      </c>
    </row>
  </sheetData>
  <hyperlinks>
    <hyperlink r:id="rId1" ref="A3"/>
    <hyperlink r:id="rId2" ref="B3"/>
    <hyperlink r:id="rId3" ref="C3"/>
    <hyperlink r:id="rId4" ref="D3"/>
    <hyperlink r:id="rId5" ref="E3"/>
    <hyperlink r:id="rId6" ref="A4"/>
    <hyperlink r:id="rId7" ref="B4"/>
    <hyperlink r:id="rId8" ref="A5"/>
    <hyperlink r:id="rId9" ref="B5"/>
    <hyperlink r:id="rId10" ref="A6"/>
    <hyperlink r:id="rId11" ref="B6"/>
    <hyperlink r:id="rId12" ref="A7"/>
    <hyperlink r:id="rId13" ref="B7"/>
    <hyperlink r:id="rId14" ref="A8"/>
    <hyperlink r:id="rId15" ref="B8"/>
    <hyperlink r:id="rId16" ref="A9"/>
    <hyperlink r:id="rId17" ref="B9"/>
    <hyperlink r:id="rId18" ref="A10"/>
    <hyperlink r:id="rId19" ref="B10"/>
    <hyperlink r:id="rId20" ref="A11"/>
    <hyperlink r:id="rId21" ref="B11"/>
    <hyperlink r:id="rId22" ref="A12"/>
    <hyperlink r:id="rId23" ref="B12"/>
    <hyperlink r:id="rId24" ref="A13"/>
    <hyperlink r:id="rId25" ref="B13"/>
    <hyperlink r:id="rId26" ref="A14"/>
    <hyperlink r:id="rId27" ref="B14"/>
    <hyperlink r:id="rId28" ref="A15"/>
    <hyperlink r:id="rId29" ref="B15"/>
    <hyperlink r:id="rId30" ref="A16"/>
    <hyperlink r:id="rId31" ref="B16"/>
    <hyperlink r:id="rId32" ref="A17"/>
    <hyperlink r:id="rId33" ref="B17"/>
    <hyperlink r:id="rId34" ref="A18"/>
    <hyperlink r:id="rId35" ref="B18"/>
    <hyperlink r:id="rId36" ref="A19"/>
    <hyperlink r:id="rId37" ref="B19"/>
    <hyperlink r:id="rId38" ref="A20"/>
    <hyperlink r:id="rId39" ref="B20"/>
    <hyperlink r:id="rId40" ref="A21"/>
    <hyperlink r:id="rId41" ref="B21"/>
    <hyperlink r:id="rId42" ref="A22"/>
    <hyperlink r:id="rId43" ref="B22"/>
    <hyperlink r:id="rId44" ref="A23"/>
    <hyperlink r:id="rId45" ref="B23"/>
    <hyperlink r:id="rId46" ref="A24"/>
    <hyperlink r:id="rId47" ref="B24"/>
    <hyperlink r:id="rId48" ref="A25"/>
    <hyperlink r:id="rId49" ref="B25"/>
    <hyperlink r:id="rId50" ref="A26"/>
    <hyperlink r:id="rId51" ref="B26"/>
    <hyperlink r:id="rId52" ref="A27"/>
    <hyperlink r:id="rId53" ref="B27"/>
    <hyperlink r:id="rId54" ref="A28"/>
    <hyperlink r:id="rId55" ref="B28"/>
    <hyperlink r:id="rId56" ref="A29"/>
    <hyperlink r:id="rId57" ref="B29"/>
    <hyperlink r:id="rId58" ref="A30"/>
    <hyperlink r:id="rId59" ref="B30"/>
    <hyperlink r:id="rId60" ref="A31"/>
    <hyperlink r:id="rId61" ref="B31"/>
    <hyperlink r:id="rId62" ref="A32"/>
    <hyperlink r:id="rId63" ref="B32"/>
    <hyperlink r:id="rId64" ref="A33"/>
    <hyperlink r:id="rId65" ref="B33"/>
    <hyperlink r:id="rId66" ref="A34"/>
    <hyperlink r:id="rId67" ref="B34"/>
    <hyperlink r:id="rId68" ref="A35"/>
    <hyperlink r:id="rId69" ref="B35"/>
    <hyperlink r:id="rId70" ref="A36"/>
    <hyperlink r:id="rId71" ref="B36"/>
    <hyperlink r:id="rId72" ref="A37"/>
    <hyperlink r:id="rId73" ref="B37"/>
    <hyperlink r:id="rId74" ref="A38"/>
    <hyperlink r:id="rId75" ref="B38"/>
    <hyperlink r:id="rId76" ref="A39"/>
    <hyperlink r:id="rId77" ref="B39"/>
    <hyperlink r:id="rId78" ref="A40"/>
    <hyperlink r:id="rId79" ref="B40"/>
    <hyperlink r:id="rId80" ref="A41"/>
    <hyperlink r:id="rId81" ref="B41"/>
    <hyperlink r:id="rId82" ref="A42"/>
    <hyperlink r:id="rId83" ref="B42"/>
    <hyperlink r:id="rId84" ref="A43"/>
    <hyperlink r:id="rId85" ref="B43"/>
    <hyperlink r:id="rId86" ref="A44"/>
    <hyperlink r:id="rId87" ref="B44"/>
    <hyperlink r:id="rId88" ref="A45"/>
    <hyperlink r:id="rId89" ref="B45"/>
    <hyperlink r:id="rId90" ref="A46"/>
    <hyperlink r:id="rId91" ref="B46"/>
    <hyperlink r:id="rId92" ref="A47"/>
    <hyperlink r:id="rId93" ref="B47"/>
    <hyperlink r:id="rId94" ref="A48"/>
    <hyperlink r:id="rId95" ref="B48"/>
    <hyperlink r:id="rId96" ref="A49"/>
    <hyperlink r:id="rId97" ref="B49"/>
    <hyperlink r:id="rId98" ref="A50"/>
    <hyperlink r:id="rId99" ref="B50"/>
    <hyperlink r:id="rId100" ref="A51"/>
    <hyperlink r:id="rId101" ref="B51"/>
    <hyperlink r:id="rId102" ref="A52"/>
    <hyperlink r:id="rId103" ref="B52"/>
    <hyperlink r:id="rId104" ref="A53"/>
    <hyperlink r:id="rId105" ref="B53"/>
    <hyperlink r:id="rId106" ref="A54"/>
    <hyperlink r:id="rId107" ref="B54"/>
    <hyperlink r:id="rId108" ref="A55"/>
    <hyperlink r:id="rId109" ref="B55"/>
    <hyperlink r:id="rId110" ref="A56"/>
    <hyperlink r:id="rId111" ref="B56"/>
    <hyperlink r:id="rId112" ref="A57"/>
    <hyperlink r:id="rId113" ref="B57"/>
    <hyperlink r:id="rId114" ref="A58"/>
    <hyperlink r:id="rId115" ref="B58"/>
    <hyperlink r:id="rId116" ref="A59"/>
    <hyperlink r:id="rId117" ref="B59"/>
    <hyperlink r:id="rId118" ref="A60"/>
    <hyperlink r:id="rId119" ref="B60"/>
    <hyperlink r:id="rId120" ref="A61"/>
    <hyperlink r:id="rId121" ref="B61"/>
    <hyperlink r:id="rId122" ref="A62"/>
    <hyperlink r:id="rId123" ref="B62"/>
    <hyperlink r:id="rId124" ref="A63"/>
    <hyperlink r:id="rId125" ref="B63"/>
    <hyperlink r:id="rId126" ref="A64"/>
    <hyperlink r:id="rId127" ref="B64"/>
    <hyperlink r:id="rId128" ref="A65"/>
    <hyperlink r:id="rId129" ref="B65"/>
    <hyperlink r:id="rId130" ref="A66"/>
    <hyperlink r:id="rId131" ref="B66"/>
    <hyperlink r:id="rId132" ref="A67"/>
    <hyperlink r:id="rId133" ref="B67"/>
    <hyperlink r:id="rId134" ref="A68"/>
    <hyperlink r:id="rId135" ref="B68"/>
    <hyperlink r:id="rId136" ref="A69"/>
    <hyperlink r:id="rId137" ref="B69"/>
    <hyperlink r:id="rId138" ref="A70"/>
    <hyperlink r:id="rId139" ref="B70"/>
    <hyperlink r:id="rId140" ref="A71"/>
    <hyperlink r:id="rId141" ref="B71"/>
    <hyperlink r:id="rId142" ref="A72"/>
    <hyperlink r:id="rId143" ref="B72"/>
    <hyperlink r:id="rId144" ref="A73"/>
    <hyperlink r:id="rId145" ref="B73"/>
    <hyperlink r:id="rId146" ref="A74"/>
    <hyperlink r:id="rId147" ref="B74"/>
    <hyperlink r:id="rId148" ref="A75"/>
    <hyperlink r:id="rId149" ref="B75"/>
    <hyperlink r:id="rId150" ref="A76"/>
    <hyperlink r:id="rId151" ref="B76"/>
    <hyperlink r:id="rId152" ref="A77"/>
    <hyperlink r:id="rId153" ref="B77"/>
    <hyperlink r:id="rId154" ref="A78"/>
    <hyperlink r:id="rId155" ref="B78"/>
    <hyperlink r:id="rId156" ref="A79"/>
    <hyperlink r:id="rId157" ref="B79"/>
    <hyperlink r:id="rId158" ref="A80"/>
    <hyperlink r:id="rId159" ref="B80"/>
    <hyperlink r:id="rId160" ref="A81"/>
    <hyperlink r:id="rId161" ref="B81"/>
    <hyperlink r:id="rId162" ref="A82"/>
    <hyperlink r:id="rId163" ref="B82"/>
    <hyperlink r:id="rId164" ref="A83"/>
    <hyperlink r:id="rId165" ref="B83"/>
    <hyperlink r:id="rId166" ref="A84"/>
    <hyperlink r:id="rId167" ref="B84"/>
    <hyperlink r:id="rId168" ref="A85"/>
    <hyperlink r:id="rId169" ref="B85"/>
    <hyperlink r:id="rId170" ref="A86"/>
    <hyperlink r:id="rId171" ref="B86"/>
    <hyperlink r:id="rId172" ref="A87"/>
    <hyperlink r:id="rId173" ref="B87"/>
    <hyperlink r:id="rId174" ref="A88"/>
    <hyperlink r:id="rId175" ref="B88"/>
    <hyperlink r:id="rId176" ref="A89"/>
    <hyperlink r:id="rId177" ref="B89"/>
    <hyperlink r:id="rId178" ref="A90"/>
    <hyperlink r:id="rId179" ref="B90"/>
    <hyperlink r:id="rId180" ref="A91"/>
    <hyperlink r:id="rId181" ref="B91"/>
    <hyperlink r:id="rId182" ref="A92"/>
    <hyperlink r:id="rId183" ref="B92"/>
    <hyperlink r:id="rId184" ref="A93"/>
    <hyperlink r:id="rId185" ref="B93"/>
    <hyperlink r:id="rId186" ref="A94"/>
    <hyperlink r:id="rId187" ref="B94"/>
    <hyperlink r:id="rId188" ref="A95"/>
    <hyperlink r:id="rId189" ref="B95"/>
    <hyperlink r:id="rId190" ref="A96"/>
    <hyperlink r:id="rId191" ref="B96"/>
    <hyperlink r:id="rId192" ref="A97"/>
    <hyperlink r:id="rId193" ref="B97"/>
    <hyperlink r:id="rId194" ref="A98"/>
    <hyperlink r:id="rId195" ref="B98"/>
    <hyperlink r:id="rId196" ref="A99"/>
    <hyperlink r:id="rId197" ref="B99"/>
    <hyperlink r:id="rId198" ref="A100"/>
    <hyperlink r:id="rId199" ref="B100"/>
    <hyperlink r:id="rId200" ref="A101"/>
    <hyperlink r:id="rId201" ref="B101"/>
    <hyperlink r:id="rId202" ref="A102"/>
    <hyperlink r:id="rId203" ref="B102"/>
    <hyperlink r:id="rId204" ref="A103"/>
    <hyperlink r:id="rId205" ref="B103"/>
    <hyperlink r:id="rId206" ref="A104"/>
    <hyperlink r:id="rId207" ref="B104"/>
    <hyperlink r:id="rId208" ref="A105"/>
    <hyperlink r:id="rId209" ref="B105"/>
    <hyperlink r:id="rId210" ref="A106"/>
    <hyperlink r:id="rId211" ref="B106"/>
    <hyperlink r:id="rId212" ref="A107"/>
    <hyperlink r:id="rId213" ref="B107"/>
    <hyperlink r:id="rId214" ref="A108"/>
    <hyperlink r:id="rId215" ref="B108"/>
    <hyperlink r:id="rId216" ref="A109"/>
    <hyperlink r:id="rId217" ref="B109"/>
    <hyperlink r:id="rId218" ref="A110"/>
    <hyperlink r:id="rId219" ref="B110"/>
    <hyperlink r:id="rId220" ref="A111"/>
    <hyperlink r:id="rId221" ref="B111"/>
    <hyperlink r:id="rId222" ref="A112"/>
    <hyperlink r:id="rId223" ref="B112"/>
    <hyperlink r:id="rId224" ref="A113"/>
    <hyperlink r:id="rId225" ref="B113"/>
    <hyperlink r:id="rId226" ref="A114"/>
    <hyperlink r:id="rId227" ref="B114"/>
    <hyperlink r:id="rId228" ref="A115"/>
    <hyperlink r:id="rId229" ref="B115"/>
    <hyperlink r:id="rId230" ref="A116"/>
    <hyperlink r:id="rId231" ref="B116"/>
    <hyperlink r:id="rId232" ref="A117"/>
    <hyperlink r:id="rId233" ref="B117"/>
    <hyperlink r:id="rId234" ref="A118"/>
    <hyperlink r:id="rId235" ref="B118"/>
    <hyperlink r:id="rId236" ref="A119"/>
    <hyperlink r:id="rId237" ref="B119"/>
    <hyperlink r:id="rId238" ref="A120"/>
    <hyperlink r:id="rId239" ref="B120"/>
    <hyperlink r:id="rId240" ref="A121"/>
    <hyperlink r:id="rId241" ref="B121"/>
    <hyperlink r:id="rId242" ref="A122"/>
    <hyperlink r:id="rId243" ref="B122"/>
    <hyperlink r:id="rId244" ref="A123"/>
    <hyperlink r:id="rId245" ref="B123"/>
    <hyperlink r:id="rId246" ref="A124"/>
    <hyperlink r:id="rId247" ref="B124"/>
    <hyperlink r:id="rId248" ref="A125"/>
    <hyperlink r:id="rId249" ref="B125"/>
    <hyperlink r:id="rId250" ref="A126"/>
    <hyperlink r:id="rId251" ref="B126"/>
    <hyperlink r:id="rId252" ref="A127"/>
    <hyperlink r:id="rId253" ref="B127"/>
    <hyperlink r:id="rId254" ref="A128"/>
    <hyperlink r:id="rId255" ref="B128"/>
    <hyperlink r:id="rId256" ref="A129"/>
    <hyperlink r:id="rId257" ref="B129"/>
    <hyperlink r:id="rId258" ref="A130"/>
    <hyperlink r:id="rId259" ref="B130"/>
    <hyperlink r:id="rId260" ref="A131"/>
    <hyperlink r:id="rId261" ref="B131"/>
    <hyperlink r:id="rId262" ref="A132"/>
    <hyperlink r:id="rId263" ref="B132"/>
    <hyperlink r:id="rId264" ref="A133"/>
    <hyperlink r:id="rId265" ref="B133"/>
    <hyperlink r:id="rId266" ref="A134"/>
    <hyperlink r:id="rId267" ref="B134"/>
    <hyperlink r:id="rId268" ref="A135"/>
    <hyperlink r:id="rId269" ref="B135"/>
    <hyperlink r:id="rId270" ref="A136"/>
    <hyperlink r:id="rId271" ref="B136"/>
    <hyperlink r:id="rId272" ref="A137"/>
    <hyperlink r:id="rId273" ref="B137"/>
    <hyperlink r:id="rId274" ref="A138"/>
    <hyperlink r:id="rId275" ref="B138"/>
    <hyperlink r:id="rId276" ref="A139"/>
    <hyperlink r:id="rId277" ref="B139"/>
    <hyperlink r:id="rId278" ref="A140"/>
    <hyperlink r:id="rId279" ref="B140"/>
    <hyperlink r:id="rId280" ref="A141"/>
    <hyperlink r:id="rId281" ref="B141"/>
    <hyperlink r:id="rId282" ref="A142"/>
    <hyperlink r:id="rId283" ref="B142"/>
    <hyperlink r:id="rId284" ref="A143"/>
    <hyperlink r:id="rId285" ref="B143"/>
    <hyperlink r:id="rId286" ref="A144"/>
    <hyperlink r:id="rId287" ref="B144"/>
    <hyperlink r:id="rId288" ref="A145"/>
    <hyperlink r:id="rId289" ref="B145"/>
    <hyperlink r:id="rId290" ref="A146"/>
    <hyperlink r:id="rId291" ref="B146"/>
    <hyperlink r:id="rId292" ref="A147"/>
    <hyperlink r:id="rId293" ref="B147"/>
    <hyperlink r:id="rId294" ref="A148"/>
    <hyperlink r:id="rId295" ref="B148"/>
    <hyperlink r:id="rId296" ref="A149"/>
    <hyperlink r:id="rId297" ref="B149"/>
    <hyperlink r:id="rId298" ref="A150"/>
    <hyperlink r:id="rId299" ref="B150"/>
    <hyperlink r:id="rId300" ref="A151"/>
    <hyperlink r:id="rId301" ref="B151"/>
    <hyperlink r:id="rId302" ref="A152"/>
    <hyperlink r:id="rId303" ref="B152"/>
    <hyperlink r:id="rId304" ref="A153"/>
    <hyperlink r:id="rId305" ref="B153"/>
    <hyperlink r:id="rId306" ref="A154"/>
    <hyperlink r:id="rId307" ref="B154"/>
    <hyperlink r:id="rId308" ref="A155"/>
    <hyperlink r:id="rId309" ref="B155"/>
    <hyperlink r:id="rId310" ref="A156"/>
    <hyperlink r:id="rId311" ref="B156"/>
    <hyperlink r:id="rId312" ref="A157"/>
    <hyperlink r:id="rId313" ref="B157"/>
    <hyperlink r:id="rId314" ref="A158"/>
    <hyperlink r:id="rId315" ref="B158"/>
    <hyperlink r:id="rId316" ref="A159"/>
    <hyperlink r:id="rId317" ref="B159"/>
    <hyperlink r:id="rId318" ref="A160"/>
    <hyperlink r:id="rId319" ref="B160"/>
    <hyperlink r:id="rId320" ref="A161"/>
    <hyperlink r:id="rId321" ref="B161"/>
    <hyperlink r:id="rId322" ref="A162"/>
    <hyperlink r:id="rId323" ref="B162"/>
    <hyperlink r:id="rId324" ref="A163"/>
    <hyperlink r:id="rId325" ref="B163"/>
    <hyperlink r:id="rId326" ref="A164"/>
    <hyperlink r:id="rId327" ref="B164"/>
    <hyperlink r:id="rId328" ref="A165"/>
    <hyperlink r:id="rId329" ref="B165"/>
    <hyperlink r:id="rId330" ref="A166"/>
    <hyperlink r:id="rId331" ref="B166"/>
    <hyperlink r:id="rId332" ref="A167"/>
    <hyperlink r:id="rId333" ref="B167"/>
    <hyperlink r:id="rId334" ref="A168"/>
    <hyperlink r:id="rId335" ref="B168"/>
    <hyperlink r:id="rId336" ref="A169"/>
    <hyperlink r:id="rId337" ref="B169"/>
    <hyperlink r:id="rId338" ref="A170"/>
    <hyperlink r:id="rId339" ref="B170"/>
    <hyperlink r:id="rId340" ref="A171"/>
    <hyperlink r:id="rId341" ref="B171"/>
    <hyperlink r:id="rId342" ref="A172"/>
    <hyperlink r:id="rId343" ref="B172"/>
    <hyperlink r:id="rId344" ref="A173"/>
    <hyperlink r:id="rId345" ref="B173"/>
    <hyperlink r:id="rId346" ref="A174"/>
    <hyperlink r:id="rId347" ref="B174"/>
    <hyperlink r:id="rId348" ref="A175"/>
    <hyperlink r:id="rId349" ref="B175"/>
    <hyperlink r:id="rId350" ref="A176"/>
    <hyperlink r:id="rId351" ref="B176"/>
    <hyperlink r:id="rId352" ref="A177"/>
    <hyperlink r:id="rId353" ref="B177"/>
    <hyperlink r:id="rId354" ref="A178"/>
    <hyperlink r:id="rId355" ref="B178"/>
    <hyperlink r:id="rId356" ref="A179"/>
    <hyperlink r:id="rId357" ref="B179"/>
    <hyperlink r:id="rId358" ref="A180"/>
    <hyperlink r:id="rId359" ref="B180"/>
    <hyperlink r:id="rId360" ref="A181"/>
    <hyperlink r:id="rId361" ref="B181"/>
    <hyperlink r:id="rId362" ref="A182"/>
    <hyperlink r:id="rId363" ref="B182"/>
    <hyperlink r:id="rId364" ref="A183"/>
    <hyperlink r:id="rId365" ref="B183"/>
    <hyperlink r:id="rId366" ref="A184"/>
    <hyperlink r:id="rId367" ref="B184"/>
    <hyperlink r:id="rId368" ref="A185"/>
    <hyperlink r:id="rId369" ref="B185"/>
    <hyperlink r:id="rId370" ref="A186"/>
    <hyperlink r:id="rId371" ref="B186"/>
    <hyperlink r:id="rId372" ref="A187"/>
    <hyperlink r:id="rId373" ref="B187"/>
    <hyperlink r:id="rId374" ref="A188"/>
    <hyperlink r:id="rId375" ref="B188"/>
    <hyperlink r:id="rId376" ref="A189"/>
    <hyperlink r:id="rId377" ref="B189"/>
    <hyperlink r:id="rId378" ref="A190"/>
    <hyperlink r:id="rId379" ref="B190"/>
    <hyperlink r:id="rId380" ref="A191"/>
    <hyperlink r:id="rId381" ref="B191"/>
    <hyperlink r:id="rId382" ref="A192"/>
    <hyperlink r:id="rId383" ref="B192"/>
    <hyperlink r:id="rId384" ref="A193"/>
    <hyperlink r:id="rId385" ref="B193"/>
    <hyperlink r:id="rId386" ref="A194"/>
    <hyperlink r:id="rId387" ref="B194"/>
    <hyperlink r:id="rId388" ref="A195"/>
    <hyperlink r:id="rId389" ref="B195"/>
    <hyperlink r:id="rId390" ref="A196"/>
    <hyperlink r:id="rId391" ref="B196"/>
    <hyperlink r:id="rId392" ref="A197"/>
    <hyperlink r:id="rId393" ref="B197"/>
    <hyperlink r:id="rId394" ref="A198"/>
    <hyperlink r:id="rId395" ref="B198"/>
    <hyperlink r:id="rId396" ref="A199"/>
    <hyperlink r:id="rId397" ref="B199"/>
    <hyperlink r:id="rId398" ref="A200"/>
    <hyperlink r:id="rId399" ref="B200"/>
    <hyperlink r:id="rId400" ref="A201"/>
    <hyperlink r:id="rId401" ref="B201"/>
    <hyperlink r:id="rId402" ref="A202"/>
    <hyperlink r:id="rId403" ref="B202"/>
    <hyperlink r:id="rId404" ref="A203"/>
    <hyperlink r:id="rId405" ref="B203"/>
    <hyperlink r:id="rId406" ref="A204"/>
    <hyperlink r:id="rId407" ref="B204"/>
    <hyperlink r:id="rId408" ref="A205"/>
    <hyperlink r:id="rId409" ref="B205"/>
    <hyperlink r:id="rId410" ref="A206"/>
    <hyperlink r:id="rId411" ref="B206"/>
    <hyperlink r:id="rId412" ref="A207"/>
    <hyperlink r:id="rId413" ref="B207"/>
    <hyperlink r:id="rId414" ref="A208"/>
    <hyperlink r:id="rId415" ref="B208"/>
    <hyperlink r:id="rId416" ref="A209"/>
    <hyperlink r:id="rId417" ref="B209"/>
    <hyperlink r:id="rId418" ref="A210"/>
    <hyperlink r:id="rId419" ref="B210"/>
    <hyperlink r:id="rId420" ref="A211"/>
    <hyperlink r:id="rId421" ref="B211"/>
    <hyperlink r:id="rId422" ref="A212"/>
    <hyperlink r:id="rId423" ref="B212"/>
    <hyperlink r:id="rId424" ref="A213"/>
    <hyperlink r:id="rId425" ref="B213"/>
    <hyperlink r:id="rId426" ref="A214"/>
    <hyperlink r:id="rId427" ref="B214"/>
    <hyperlink r:id="rId428" ref="A215"/>
    <hyperlink r:id="rId429" ref="B215"/>
    <hyperlink r:id="rId430" ref="A216"/>
    <hyperlink r:id="rId431" ref="B216"/>
    <hyperlink r:id="rId432" ref="A217"/>
    <hyperlink r:id="rId433" ref="B217"/>
    <hyperlink r:id="rId434" ref="A218"/>
    <hyperlink r:id="rId435" ref="B218"/>
    <hyperlink r:id="rId436" ref="A219"/>
    <hyperlink r:id="rId437" ref="B219"/>
    <hyperlink r:id="rId438" ref="A220"/>
    <hyperlink r:id="rId439" ref="B220"/>
    <hyperlink r:id="rId440" ref="A221"/>
    <hyperlink r:id="rId441" ref="B221"/>
    <hyperlink r:id="rId442" ref="A222"/>
    <hyperlink r:id="rId443" ref="B222"/>
    <hyperlink r:id="rId444" ref="A223"/>
    <hyperlink r:id="rId445" ref="B223"/>
    <hyperlink r:id="rId446" ref="A224"/>
    <hyperlink r:id="rId447" ref="B224"/>
    <hyperlink r:id="rId448" ref="A225"/>
    <hyperlink r:id="rId449" ref="B225"/>
    <hyperlink r:id="rId450" ref="A226"/>
    <hyperlink r:id="rId451" ref="B226"/>
    <hyperlink r:id="rId452" ref="A227"/>
    <hyperlink r:id="rId453" ref="B227"/>
    <hyperlink r:id="rId454" ref="A228"/>
    <hyperlink r:id="rId455" ref="B228"/>
    <hyperlink r:id="rId456" ref="A229"/>
    <hyperlink r:id="rId457" ref="B229"/>
    <hyperlink r:id="rId458" ref="A230"/>
    <hyperlink r:id="rId459" ref="B230"/>
    <hyperlink r:id="rId460" ref="A231"/>
    <hyperlink r:id="rId461" ref="B231"/>
    <hyperlink r:id="rId462" ref="A232"/>
    <hyperlink r:id="rId463" ref="B232"/>
    <hyperlink r:id="rId464" ref="A233"/>
    <hyperlink r:id="rId465" ref="B233"/>
    <hyperlink r:id="rId466" ref="A234"/>
    <hyperlink r:id="rId467" ref="B234"/>
    <hyperlink r:id="rId468" ref="A235"/>
    <hyperlink r:id="rId469" ref="B235"/>
    <hyperlink r:id="rId470" ref="A236"/>
    <hyperlink r:id="rId471" ref="B236"/>
    <hyperlink r:id="rId472" ref="A237"/>
    <hyperlink r:id="rId473" ref="B237"/>
    <hyperlink r:id="rId474" ref="A238"/>
    <hyperlink r:id="rId475" ref="B238"/>
    <hyperlink r:id="rId476" ref="A239"/>
    <hyperlink r:id="rId477" ref="B239"/>
    <hyperlink r:id="rId478" ref="A240"/>
    <hyperlink r:id="rId479" ref="B240"/>
    <hyperlink r:id="rId480" ref="A241"/>
    <hyperlink r:id="rId481" ref="B241"/>
    <hyperlink r:id="rId482" ref="A242"/>
    <hyperlink r:id="rId483" ref="B242"/>
    <hyperlink r:id="rId484" ref="A243"/>
    <hyperlink r:id="rId485" ref="B243"/>
    <hyperlink r:id="rId486" ref="A244"/>
    <hyperlink r:id="rId487" ref="B244"/>
    <hyperlink r:id="rId488" ref="A245"/>
    <hyperlink r:id="rId489" ref="B245"/>
    <hyperlink r:id="rId490" ref="A246"/>
    <hyperlink r:id="rId491" ref="B246"/>
    <hyperlink r:id="rId492" ref="A247"/>
    <hyperlink r:id="rId493" ref="B247"/>
    <hyperlink r:id="rId494" ref="A248"/>
    <hyperlink r:id="rId495" ref="B248"/>
    <hyperlink r:id="rId496" ref="A249"/>
    <hyperlink r:id="rId497" ref="B249"/>
    <hyperlink r:id="rId498" ref="A250"/>
    <hyperlink r:id="rId499" ref="B250"/>
    <hyperlink r:id="rId500" ref="A251"/>
    <hyperlink r:id="rId501" ref="B251"/>
    <hyperlink r:id="rId502" ref="A252"/>
    <hyperlink r:id="rId503" ref="B252"/>
    <hyperlink r:id="rId504" ref="A253"/>
    <hyperlink r:id="rId505" ref="B253"/>
    <hyperlink r:id="rId506" ref="A254"/>
    <hyperlink r:id="rId507" ref="B254"/>
    <hyperlink r:id="rId508" ref="A255"/>
    <hyperlink r:id="rId509" ref="B255"/>
    <hyperlink r:id="rId510" ref="A256"/>
    <hyperlink r:id="rId511" ref="B256"/>
    <hyperlink r:id="rId512" ref="A257"/>
    <hyperlink r:id="rId513" ref="B257"/>
    <hyperlink r:id="rId514" ref="A258"/>
    <hyperlink r:id="rId515" ref="B258"/>
    <hyperlink r:id="rId516" ref="A259"/>
    <hyperlink r:id="rId517" ref="B259"/>
    <hyperlink r:id="rId518" ref="A260"/>
    <hyperlink r:id="rId519" ref="B260"/>
    <hyperlink r:id="rId520" ref="A261"/>
    <hyperlink r:id="rId521" ref="B261"/>
    <hyperlink r:id="rId522" ref="A262"/>
    <hyperlink r:id="rId523" ref="B262"/>
    <hyperlink r:id="rId524" ref="A263"/>
    <hyperlink r:id="rId525" ref="B263"/>
    <hyperlink r:id="rId526" ref="A264"/>
    <hyperlink r:id="rId527" ref="B264"/>
    <hyperlink r:id="rId528" ref="A265"/>
    <hyperlink r:id="rId529" ref="B265"/>
    <hyperlink r:id="rId530" ref="A266"/>
    <hyperlink r:id="rId531" ref="B266"/>
    <hyperlink r:id="rId532" ref="A267"/>
    <hyperlink r:id="rId533" ref="B267"/>
    <hyperlink r:id="rId534" ref="A268"/>
    <hyperlink r:id="rId535" ref="B268"/>
    <hyperlink r:id="rId536" ref="A269"/>
    <hyperlink r:id="rId537" ref="B269"/>
    <hyperlink r:id="rId538" ref="A270"/>
    <hyperlink r:id="rId539" ref="B270"/>
    <hyperlink r:id="rId540" ref="A271"/>
    <hyperlink r:id="rId541" ref="B271"/>
    <hyperlink r:id="rId542" ref="A272"/>
    <hyperlink r:id="rId543" ref="B272"/>
    <hyperlink r:id="rId544" ref="A273"/>
    <hyperlink r:id="rId545" ref="B273"/>
    <hyperlink r:id="rId546" ref="A274"/>
    <hyperlink r:id="rId547" ref="B274"/>
    <hyperlink r:id="rId548" ref="A275"/>
    <hyperlink r:id="rId549" ref="B275"/>
    <hyperlink r:id="rId550" ref="A276"/>
    <hyperlink r:id="rId551" ref="B276"/>
    <hyperlink r:id="rId552" ref="A277"/>
    <hyperlink r:id="rId553" ref="B277"/>
    <hyperlink r:id="rId554" ref="A278"/>
    <hyperlink r:id="rId555" ref="B278"/>
    <hyperlink r:id="rId556" ref="A279"/>
    <hyperlink r:id="rId557" ref="B279"/>
    <hyperlink r:id="rId558" ref="A280"/>
    <hyperlink r:id="rId559" ref="B280"/>
    <hyperlink r:id="rId560" ref="A281"/>
    <hyperlink r:id="rId561" ref="B281"/>
    <hyperlink r:id="rId562" ref="A282"/>
    <hyperlink r:id="rId563" ref="B282"/>
    <hyperlink r:id="rId564" ref="A283"/>
    <hyperlink r:id="rId565" ref="B283"/>
    <hyperlink r:id="rId566" ref="A284"/>
    <hyperlink r:id="rId567" ref="B284"/>
    <hyperlink r:id="rId568" ref="A285"/>
    <hyperlink r:id="rId569" ref="B285"/>
    <hyperlink r:id="rId570" ref="A286"/>
    <hyperlink r:id="rId571" ref="B286"/>
    <hyperlink r:id="rId572" ref="A287"/>
    <hyperlink r:id="rId573" ref="B287"/>
    <hyperlink r:id="rId574" ref="A288"/>
    <hyperlink r:id="rId575" ref="B288"/>
    <hyperlink r:id="rId576" ref="A289"/>
    <hyperlink r:id="rId577" ref="B289"/>
    <hyperlink r:id="rId578" ref="A290"/>
    <hyperlink r:id="rId579" ref="B290"/>
    <hyperlink r:id="rId580" ref="A291"/>
    <hyperlink r:id="rId581" ref="B291"/>
    <hyperlink r:id="rId582" ref="A292"/>
    <hyperlink r:id="rId583" ref="B292"/>
    <hyperlink r:id="rId584" ref="A293"/>
    <hyperlink r:id="rId585" ref="B293"/>
    <hyperlink r:id="rId586" ref="A294"/>
    <hyperlink r:id="rId587" ref="B294"/>
    <hyperlink r:id="rId588" ref="A295"/>
    <hyperlink r:id="rId589" ref="B295"/>
    <hyperlink r:id="rId590" ref="A296"/>
    <hyperlink r:id="rId591" ref="B296"/>
    <hyperlink r:id="rId592" ref="A297"/>
    <hyperlink r:id="rId593" ref="B297"/>
    <hyperlink r:id="rId594" ref="A298"/>
    <hyperlink r:id="rId595" ref="B298"/>
    <hyperlink r:id="rId596" ref="A299"/>
    <hyperlink r:id="rId597" ref="B299"/>
    <hyperlink r:id="rId598" ref="A300"/>
    <hyperlink r:id="rId599" ref="B300"/>
    <hyperlink r:id="rId600" ref="A301"/>
    <hyperlink r:id="rId601" ref="B301"/>
    <hyperlink r:id="rId602" ref="A302"/>
    <hyperlink r:id="rId603" ref="B302"/>
    <hyperlink r:id="rId604" ref="A303"/>
    <hyperlink r:id="rId605" ref="B303"/>
    <hyperlink r:id="rId606" ref="A304"/>
    <hyperlink r:id="rId607" ref="B304"/>
    <hyperlink r:id="rId608" ref="A305"/>
    <hyperlink r:id="rId609" ref="B305"/>
    <hyperlink r:id="rId610" ref="A306"/>
    <hyperlink r:id="rId611" ref="B306"/>
    <hyperlink r:id="rId612" ref="A307"/>
    <hyperlink r:id="rId613" ref="B307"/>
    <hyperlink r:id="rId614" ref="A308"/>
    <hyperlink r:id="rId615" ref="B308"/>
    <hyperlink r:id="rId616" ref="A309"/>
    <hyperlink r:id="rId617" ref="B309"/>
    <hyperlink r:id="rId618" ref="A310"/>
    <hyperlink r:id="rId619" ref="B310"/>
    <hyperlink r:id="rId620" ref="A311"/>
    <hyperlink r:id="rId621" ref="B311"/>
    <hyperlink r:id="rId622" ref="A312"/>
    <hyperlink r:id="rId623" ref="B312"/>
    <hyperlink r:id="rId624" ref="A313"/>
    <hyperlink r:id="rId625" ref="B313"/>
    <hyperlink r:id="rId626" ref="A314"/>
    <hyperlink r:id="rId627" ref="B314"/>
    <hyperlink r:id="rId628" ref="A315"/>
    <hyperlink r:id="rId629" ref="B315"/>
    <hyperlink r:id="rId630" ref="A316"/>
    <hyperlink r:id="rId631" ref="B316"/>
    <hyperlink r:id="rId632" ref="A317"/>
    <hyperlink r:id="rId633" ref="B317"/>
    <hyperlink r:id="rId634" ref="A318"/>
    <hyperlink r:id="rId635" ref="B318"/>
    <hyperlink r:id="rId636" ref="A319"/>
    <hyperlink r:id="rId637" ref="B319"/>
    <hyperlink r:id="rId638" ref="A320"/>
    <hyperlink r:id="rId639" ref="B320"/>
    <hyperlink r:id="rId640" ref="A321"/>
    <hyperlink r:id="rId641" ref="B321"/>
    <hyperlink r:id="rId642" ref="A322"/>
    <hyperlink r:id="rId643" ref="B322"/>
    <hyperlink r:id="rId644" ref="A323"/>
    <hyperlink r:id="rId645" ref="B323"/>
    <hyperlink r:id="rId646" ref="A324"/>
    <hyperlink r:id="rId647" ref="B324"/>
    <hyperlink r:id="rId648" ref="A325"/>
    <hyperlink r:id="rId649" ref="B325"/>
    <hyperlink r:id="rId650" ref="A326"/>
    <hyperlink r:id="rId651" ref="B326"/>
    <hyperlink r:id="rId652" ref="A327"/>
    <hyperlink r:id="rId653" ref="B327"/>
    <hyperlink r:id="rId654" ref="A328"/>
    <hyperlink r:id="rId655" ref="B328"/>
    <hyperlink r:id="rId656" ref="A329"/>
    <hyperlink r:id="rId657" ref="B329"/>
    <hyperlink r:id="rId658" ref="A330"/>
    <hyperlink r:id="rId659" ref="B330"/>
    <hyperlink r:id="rId660" ref="A331"/>
    <hyperlink r:id="rId661" ref="B331"/>
    <hyperlink r:id="rId662" ref="A332"/>
    <hyperlink r:id="rId663" ref="B332"/>
    <hyperlink r:id="rId664" ref="A333"/>
    <hyperlink r:id="rId665" ref="B333"/>
    <hyperlink r:id="rId666" ref="A334"/>
    <hyperlink r:id="rId667" ref="B334"/>
    <hyperlink r:id="rId668" ref="A335"/>
    <hyperlink r:id="rId669" ref="B335"/>
    <hyperlink r:id="rId670" ref="A336"/>
    <hyperlink r:id="rId671" ref="B336"/>
    <hyperlink r:id="rId672" ref="A337"/>
    <hyperlink r:id="rId673" ref="B337"/>
    <hyperlink r:id="rId674" ref="A338"/>
    <hyperlink r:id="rId675" ref="B338"/>
    <hyperlink r:id="rId676" ref="A339"/>
    <hyperlink r:id="rId677" ref="B339"/>
    <hyperlink r:id="rId678" ref="A340"/>
    <hyperlink r:id="rId679" ref="B340"/>
    <hyperlink r:id="rId680" ref="A341"/>
    <hyperlink r:id="rId681" ref="B341"/>
    <hyperlink r:id="rId682" ref="A342"/>
    <hyperlink r:id="rId683" ref="B342"/>
    <hyperlink r:id="rId684" ref="A343"/>
    <hyperlink r:id="rId685" ref="B343"/>
    <hyperlink r:id="rId686" ref="A344"/>
    <hyperlink r:id="rId687" ref="B344"/>
    <hyperlink r:id="rId688" ref="A345"/>
    <hyperlink r:id="rId689" ref="B345"/>
    <hyperlink r:id="rId690" ref="A346"/>
    <hyperlink r:id="rId691" ref="B346"/>
    <hyperlink r:id="rId692" ref="A347"/>
    <hyperlink r:id="rId693" ref="B347"/>
    <hyperlink r:id="rId694" ref="A348"/>
    <hyperlink r:id="rId695" ref="B348"/>
    <hyperlink r:id="rId696" ref="A349"/>
    <hyperlink r:id="rId697" ref="B349"/>
    <hyperlink r:id="rId698" ref="A350"/>
    <hyperlink r:id="rId699" ref="B350"/>
    <hyperlink r:id="rId700" ref="A351"/>
    <hyperlink r:id="rId701" ref="B351"/>
    <hyperlink r:id="rId702" ref="A352"/>
    <hyperlink r:id="rId703" ref="B352"/>
    <hyperlink r:id="rId704" ref="A353"/>
    <hyperlink r:id="rId705" ref="B353"/>
    <hyperlink r:id="rId706" ref="A354"/>
    <hyperlink r:id="rId707" ref="B354"/>
    <hyperlink r:id="rId708" ref="A355"/>
    <hyperlink r:id="rId709" ref="B355"/>
    <hyperlink r:id="rId710" ref="A356"/>
    <hyperlink r:id="rId711" ref="B356"/>
    <hyperlink r:id="rId712" ref="A357"/>
    <hyperlink r:id="rId713" ref="B357"/>
    <hyperlink r:id="rId714" ref="A358"/>
    <hyperlink r:id="rId715" ref="B358"/>
    <hyperlink r:id="rId716" ref="A359"/>
    <hyperlink r:id="rId717" ref="B359"/>
    <hyperlink r:id="rId718" ref="A360"/>
    <hyperlink r:id="rId719" ref="B360"/>
    <hyperlink r:id="rId720" ref="A361"/>
    <hyperlink r:id="rId721" ref="B361"/>
    <hyperlink r:id="rId722" ref="A362"/>
    <hyperlink r:id="rId723" ref="B362"/>
    <hyperlink r:id="rId724" ref="A363"/>
    <hyperlink r:id="rId725" ref="B363"/>
    <hyperlink r:id="rId726" ref="A364"/>
    <hyperlink r:id="rId727" ref="B364"/>
    <hyperlink r:id="rId728" ref="A365"/>
    <hyperlink r:id="rId729" ref="B365"/>
    <hyperlink r:id="rId730" ref="A366"/>
    <hyperlink r:id="rId731" ref="B366"/>
    <hyperlink r:id="rId732" ref="A367"/>
    <hyperlink r:id="rId733" ref="B367"/>
    <hyperlink r:id="rId734" ref="A368"/>
    <hyperlink r:id="rId735" ref="B368"/>
    <hyperlink r:id="rId736" ref="A369"/>
    <hyperlink r:id="rId737" ref="B369"/>
    <hyperlink r:id="rId738" ref="A370"/>
    <hyperlink r:id="rId739" ref="B370"/>
    <hyperlink r:id="rId740" ref="A371"/>
    <hyperlink r:id="rId741" ref="B371"/>
    <hyperlink r:id="rId742" ref="A372"/>
    <hyperlink r:id="rId743" ref="B372"/>
    <hyperlink r:id="rId744" ref="A373"/>
    <hyperlink r:id="rId745" ref="B373"/>
    <hyperlink r:id="rId746" ref="A374"/>
    <hyperlink r:id="rId747" ref="B374"/>
    <hyperlink r:id="rId748" ref="A375"/>
    <hyperlink r:id="rId749" ref="B375"/>
    <hyperlink r:id="rId750" ref="A376"/>
    <hyperlink r:id="rId751" ref="B376"/>
    <hyperlink r:id="rId752" ref="A377"/>
    <hyperlink r:id="rId753" ref="B377"/>
    <hyperlink r:id="rId754" ref="A378"/>
    <hyperlink r:id="rId755" ref="B378"/>
    <hyperlink r:id="rId756" ref="A379"/>
    <hyperlink r:id="rId757" ref="B379"/>
    <hyperlink r:id="rId758" ref="A380"/>
    <hyperlink r:id="rId759" ref="B380"/>
    <hyperlink r:id="rId760" ref="A381"/>
    <hyperlink r:id="rId761" ref="B381"/>
    <hyperlink r:id="rId762" ref="A382"/>
    <hyperlink r:id="rId763" ref="B382"/>
    <hyperlink r:id="rId764" ref="A383"/>
    <hyperlink r:id="rId765" ref="B383"/>
    <hyperlink r:id="rId766" ref="A384"/>
    <hyperlink r:id="rId767" ref="B384"/>
    <hyperlink r:id="rId768" ref="A385"/>
    <hyperlink r:id="rId769" ref="B385"/>
    <hyperlink r:id="rId770" ref="A386"/>
    <hyperlink r:id="rId771" ref="B386"/>
    <hyperlink r:id="rId772" ref="A387"/>
    <hyperlink r:id="rId773" ref="B387"/>
    <hyperlink r:id="rId774" ref="A388"/>
    <hyperlink r:id="rId775" ref="B388"/>
    <hyperlink r:id="rId776" ref="A389"/>
    <hyperlink r:id="rId777" ref="B389"/>
    <hyperlink r:id="rId778" ref="A390"/>
    <hyperlink r:id="rId779" ref="B390"/>
    <hyperlink r:id="rId780" ref="A391"/>
    <hyperlink r:id="rId781" ref="B391"/>
    <hyperlink r:id="rId782" ref="A392"/>
    <hyperlink r:id="rId783" ref="B392"/>
    <hyperlink r:id="rId784" ref="A393"/>
    <hyperlink r:id="rId785" ref="B393"/>
    <hyperlink r:id="rId786" ref="A394"/>
    <hyperlink r:id="rId787" ref="B394"/>
    <hyperlink r:id="rId788" ref="A395"/>
    <hyperlink r:id="rId789" ref="B395"/>
    <hyperlink r:id="rId790" ref="A396"/>
    <hyperlink r:id="rId791" ref="B396"/>
    <hyperlink r:id="rId792" ref="A397"/>
    <hyperlink r:id="rId793" ref="B397"/>
    <hyperlink r:id="rId794" ref="A398"/>
    <hyperlink r:id="rId795" ref="B398"/>
    <hyperlink r:id="rId796" ref="A399"/>
    <hyperlink r:id="rId797" ref="B399"/>
    <hyperlink r:id="rId798" ref="A400"/>
    <hyperlink r:id="rId799" ref="B400"/>
    <hyperlink r:id="rId800" ref="A401"/>
    <hyperlink r:id="rId801" ref="B401"/>
    <hyperlink r:id="rId802" ref="A402"/>
    <hyperlink r:id="rId803" ref="B402"/>
    <hyperlink r:id="rId804" ref="A403"/>
    <hyperlink r:id="rId805" ref="B403"/>
    <hyperlink r:id="rId806" ref="A404"/>
    <hyperlink r:id="rId807" ref="B404"/>
    <hyperlink r:id="rId808" ref="A405"/>
    <hyperlink r:id="rId809" ref="B405"/>
    <hyperlink r:id="rId810" ref="A406"/>
    <hyperlink r:id="rId811" ref="B406"/>
    <hyperlink r:id="rId812" ref="A407"/>
    <hyperlink r:id="rId813" ref="B407"/>
    <hyperlink r:id="rId814" ref="A408"/>
    <hyperlink r:id="rId815" ref="B408"/>
    <hyperlink r:id="rId816" ref="A409"/>
    <hyperlink r:id="rId817" ref="B409"/>
    <hyperlink r:id="rId818" ref="A410"/>
    <hyperlink r:id="rId819" ref="B410"/>
    <hyperlink r:id="rId820" ref="A411"/>
    <hyperlink r:id="rId821" ref="B411"/>
    <hyperlink r:id="rId822" ref="A412"/>
    <hyperlink r:id="rId823" ref="B412"/>
    <hyperlink r:id="rId824" ref="A413"/>
    <hyperlink r:id="rId825" ref="B413"/>
    <hyperlink r:id="rId826" ref="A414"/>
    <hyperlink r:id="rId827" ref="B414"/>
    <hyperlink r:id="rId828" ref="A415"/>
    <hyperlink r:id="rId829" ref="B415"/>
    <hyperlink r:id="rId830" ref="A416"/>
    <hyperlink r:id="rId831" ref="B416"/>
    <hyperlink r:id="rId832" ref="A417"/>
    <hyperlink r:id="rId833" ref="B417"/>
    <hyperlink r:id="rId834" ref="A418"/>
    <hyperlink r:id="rId835" ref="B418"/>
    <hyperlink r:id="rId836" ref="A419"/>
    <hyperlink r:id="rId837" ref="B419"/>
    <hyperlink r:id="rId838" ref="A420"/>
    <hyperlink r:id="rId839" ref="B420"/>
    <hyperlink r:id="rId840" ref="A421"/>
    <hyperlink r:id="rId841" ref="B421"/>
    <hyperlink r:id="rId842" ref="A422"/>
    <hyperlink r:id="rId843" ref="B422"/>
    <hyperlink r:id="rId844" ref="A423"/>
    <hyperlink r:id="rId845" ref="B423"/>
    <hyperlink r:id="rId846" ref="A424"/>
    <hyperlink r:id="rId847" ref="B424"/>
    <hyperlink r:id="rId848" ref="A425"/>
    <hyperlink r:id="rId849" ref="B425"/>
    <hyperlink r:id="rId850" ref="A426"/>
    <hyperlink r:id="rId851" ref="B426"/>
    <hyperlink r:id="rId852" ref="A427"/>
    <hyperlink r:id="rId853" ref="B427"/>
    <hyperlink r:id="rId854" ref="A428"/>
    <hyperlink r:id="rId855" ref="B428"/>
    <hyperlink r:id="rId856" ref="A429"/>
    <hyperlink r:id="rId857" ref="B429"/>
    <hyperlink r:id="rId858" ref="A430"/>
    <hyperlink r:id="rId859" ref="B430"/>
    <hyperlink r:id="rId860" ref="A431"/>
    <hyperlink r:id="rId861" ref="B431"/>
    <hyperlink r:id="rId862" ref="A432"/>
    <hyperlink r:id="rId863" ref="B432"/>
    <hyperlink r:id="rId864" ref="A433"/>
    <hyperlink r:id="rId865" ref="B433"/>
    <hyperlink r:id="rId866" ref="A434"/>
    <hyperlink r:id="rId867" ref="B434"/>
    <hyperlink r:id="rId868" ref="A435"/>
    <hyperlink r:id="rId869" ref="B435"/>
    <hyperlink r:id="rId870" ref="A436"/>
    <hyperlink r:id="rId871" ref="B436"/>
    <hyperlink r:id="rId872" ref="A437"/>
    <hyperlink r:id="rId873" ref="B437"/>
    <hyperlink r:id="rId874" ref="A438"/>
    <hyperlink r:id="rId875" ref="B438"/>
    <hyperlink r:id="rId876" ref="A439"/>
    <hyperlink r:id="rId877" ref="B439"/>
    <hyperlink r:id="rId878" ref="A440"/>
    <hyperlink r:id="rId879" ref="B440"/>
    <hyperlink r:id="rId880" ref="A441"/>
    <hyperlink r:id="rId881" ref="B441"/>
    <hyperlink r:id="rId882" ref="A442"/>
    <hyperlink r:id="rId883" ref="B442"/>
    <hyperlink r:id="rId884" ref="A443"/>
    <hyperlink r:id="rId885" ref="B443"/>
    <hyperlink r:id="rId886" ref="A444"/>
    <hyperlink r:id="rId887" ref="B444"/>
    <hyperlink r:id="rId888" ref="A445"/>
    <hyperlink r:id="rId889" ref="B445"/>
    <hyperlink r:id="rId890" ref="A446"/>
    <hyperlink r:id="rId891" ref="B446"/>
    <hyperlink r:id="rId892" ref="A447"/>
    <hyperlink r:id="rId893" ref="B447"/>
    <hyperlink r:id="rId894" ref="A448"/>
    <hyperlink r:id="rId895" ref="B448"/>
    <hyperlink r:id="rId896" ref="A449"/>
    <hyperlink r:id="rId897" ref="B449"/>
    <hyperlink r:id="rId898" ref="A450"/>
    <hyperlink r:id="rId899" ref="B450"/>
    <hyperlink r:id="rId900" ref="A451"/>
    <hyperlink r:id="rId901" ref="B451"/>
    <hyperlink r:id="rId902" ref="A452"/>
    <hyperlink r:id="rId903" ref="B452"/>
    <hyperlink r:id="rId904" ref="A453"/>
    <hyperlink r:id="rId905" ref="B453"/>
    <hyperlink r:id="rId906" ref="A454"/>
    <hyperlink r:id="rId907" ref="B454"/>
    <hyperlink r:id="rId908" ref="A455"/>
    <hyperlink r:id="rId909" ref="B455"/>
    <hyperlink r:id="rId910" ref="A456"/>
    <hyperlink r:id="rId911" ref="B456"/>
    <hyperlink r:id="rId912" ref="A457"/>
    <hyperlink r:id="rId913" ref="B457"/>
    <hyperlink r:id="rId914" ref="A458"/>
    <hyperlink r:id="rId915" ref="B458"/>
    <hyperlink r:id="rId916" ref="A459"/>
    <hyperlink r:id="rId917" ref="B459"/>
    <hyperlink r:id="rId918" ref="A460"/>
    <hyperlink r:id="rId919" ref="B460"/>
    <hyperlink r:id="rId920" ref="A461"/>
    <hyperlink r:id="rId921" ref="B461"/>
    <hyperlink r:id="rId922" ref="A462"/>
    <hyperlink r:id="rId923" ref="B462"/>
    <hyperlink r:id="rId924" ref="A463"/>
    <hyperlink r:id="rId925" ref="B463"/>
    <hyperlink r:id="rId926" ref="A464"/>
    <hyperlink r:id="rId927" ref="B464"/>
    <hyperlink r:id="rId928" ref="A465"/>
    <hyperlink r:id="rId929" ref="B465"/>
    <hyperlink r:id="rId930" ref="A466"/>
    <hyperlink r:id="rId931" ref="B466"/>
    <hyperlink r:id="rId932" ref="A467"/>
    <hyperlink r:id="rId933" ref="B467"/>
    <hyperlink r:id="rId934" ref="A468"/>
    <hyperlink r:id="rId935" ref="B468"/>
    <hyperlink r:id="rId936" ref="A469"/>
    <hyperlink r:id="rId937" ref="B469"/>
    <hyperlink r:id="rId938" ref="A470"/>
    <hyperlink r:id="rId939" ref="B470"/>
    <hyperlink r:id="rId940" ref="A471"/>
    <hyperlink r:id="rId941" ref="B471"/>
    <hyperlink r:id="rId942" ref="A472"/>
    <hyperlink r:id="rId943" ref="B472"/>
    <hyperlink r:id="rId944" ref="A473"/>
    <hyperlink r:id="rId945" ref="B473"/>
    <hyperlink r:id="rId946" ref="A474"/>
    <hyperlink r:id="rId947" ref="B474"/>
    <hyperlink r:id="rId948" ref="A475"/>
    <hyperlink r:id="rId949" ref="B475"/>
    <hyperlink r:id="rId950" ref="A476"/>
    <hyperlink r:id="rId951" ref="B476"/>
    <hyperlink r:id="rId952" ref="A477"/>
    <hyperlink r:id="rId953" ref="B477"/>
    <hyperlink r:id="rId954" ref="A478"/>
    <hyperlink r:id="rId955" ref="B478"/>
    <hyperlink r:id="rId956" ref="A479"/>
    <hyperlink r:id="rId957" ref="B479"/>
    <hyperlink r:id="rId958" ref="A480"/>
    <hyperlink r:id="rId959" ref="B480"/>
    <hyperlink r:id="rId960" ref="A481"/>
    <hyperlink r:id="rId961" ref="B481"/>
    <hyperlink r:id="rId962" ref="A482"/>
    <hyperlink r:id="rId963" ref="B482"/>
    <hyperlink r:id="rId964" ref="A483"/>
    <hyperlink r:id="rId965" ref="B483"/>
    <hyperlink r:id="rId966" ref="A484"/>
    <hyperlink r:id="rId967" ref="B484"/>
    <hyperlink r:id="rId968" ref="A485"/>
    <hyperlink r:id="rId969" ref="B485"/>
    <hyperlink r:id="rId970" ref="A486"/>
    <hyperlink r:id="rId971" ref="B486"/>
    <hyperlink r:id="rId972" ref="A487"/>
    <hyperlink r:id="rId973" ref="B487"/>
    <hyperlink r:id="rId974" ref="A488"/>
    <hyperlink r:id="rId975" ref="B488"/>
    <hyperlink r:id="rId976" ref="A489"/>
    <hyperlink r:id="rId977" ref="B489"/>
    <hyperlink r:id="rId978" ref="A490"/>
    <hyperlink r:id="rId979" ref="B490"/>
    <hyperlink r:id="rId980" ref="A491"/>
    <hyperlink r:id="rId981" ref="B491"/>
    <hyperlink r:id="rId982" ref="A492"/>
    <hyperlink r:id="rId983" ref="B492"/>
    <hyperlink r:id="rId984" ref="A493"/>
    <hyperlink r:id="rId985" ref="B493"/>
    <hyperlink r:id="rId986" ref="A494"/>
    <hyperlink r:id="rId987" ref="B494"/>
    <hyperlink r:id="rId988" ref="A495"/>
    <hyperlink r:id="rId989" ref="B495"/>
    <hyperlink r:id="rId990" ref="A496"/>
    <hyperlink r:id="rId991" ref="B496"/>
    <hyperlink r:id="rId992" ref="A497"/>
    <hyperlink r:id="rId993" ref="B497"/>
    <hyperlink r:id="rId994" ref="A498"/>
    <hyperlink r:id="rId995" ref="B498"/>
    <hyperlink r:id="rId996" ref="A499"/>
    <hyperlink r:id="rId997" ref="B499"/>
    <hyperlink r:id="rId998" ref="A500"/>
    <hyperlink r:id="rId999" ref="B500"/>
    <hyperlink r:id="rId1000" ref="A501"/>
    <hyperlink r:id="rId1001" ref="B501"/>
    <hyperlink r:id="rId1002" ref="A502"/>
    <hyperlink r:id="rId1003" ref="B502"/>
    <hyperlink r:id="rId1004" ref="A503"/>
    <hyperlink r:id="rId1005" ref="B503"/>
    <hyperlink r:id="rId1006" ref="A504"/>
    <hyperlink r:id="rId1007" ref="B504"/>
    <hyperlink r:id="rId1008" ref="A505"/>
    <hyperlink r:id="rId1009" ref="B505"/>
    <hyperlink r:id="rId1010" ref="A506"/>
    <hyperlink r:id="rId1011" ref="B506"/>
    <hyperlink r:id="rId1012" ref="A507"/>
    <hyperlink r:id="rId1013" ref="B507"/>
    <hyperlink r:id="rId1014" ref="A508"/>
    <hyperlink r:id="rId1015" ref="B508"/>
    <hyperlink r:id="rId1016" ref="A509"/>
    <hyperlink r:id="rId1017" ref="B509"/>
    <hyperlink r:id="rId1018" ref="A510"/>
    <hyperlink r:id="rId1019" ref="B510"/>
    <hyperlink r:id="rId1020" ref="A511"/>
    <hyperlink r:id="rId1021" ref="B511"/>
    <hyperlink r:id="rId1022" ref="A512"/>
    <hyperlink r:id="rId1023" ref="B512"/>
    <hyperlink r:id="rId1024" ref="A513"/>
    <hyperlink r:id="rId1025" ref="B513"/>
    <hyperlink r:id="rId1026" ref="A514"/>
    <hyperlink r:id="rId1027" ref="B514"/>
    <hyperlink r:id="rId1028" ref="A515"/>
    <hyperlink r:id="rId1029" ref="B515"/>
    <hyperlink r:id="rId1030" ref="A516"/>
    <hyperlink r:id="rId1031" ref="B516"/>
    <hyperlink r:id="rId1032" ref="A517"/>
    <hyperlink r:id="rId1033" ref="B517"/>
    <hyperlink r:id="rId1034" ref="A518"/>
    <hyperlink r:id="rId1035" ref="B518"/>
    <hyperlink r:id="rId1036" ref="A519"/>
    <hyperlink r:id="rId1037" ref="B519"/>
    <hyperlink r:id="rId1038" ref="A520"/>
    <hyperlink r:id="rId1039" ref="B520"/>
    <hyperlink r:id="rId1040" ref="A521"/>
    <hyperlink r:id="rId1041" ref="B521"/>
    <hyperlink r:id="rId1042" ref="A522"/>
    <hyperlink r:id="rId1043" ref="B522"/>
    <hyperlink r:id="rId1044" ref="A523"/>
    <hyperlink r:id="rId1045" ref="B523"/>
    <hyperlink r:id="rId1046" ref="A524"/>
    <hyperlink r:id="rId1047" ref="B524"/>
    <hyperlink r:id="rId1048" ref="A525"/>
    <hyperlink r:id="rId1049" ref="B525"/>
    <hyperlink r:id="rId1050" ref="A526"/>
    <hyperlink r:id="rId1051" ref="B526"/>
    <hyperlink r:id="rId1052" ref="A527"/>
    <hyperlink r:id="rId1053" ref="B527"/>
    <hyperlink r:id="rId1054" ref="A528"/>
    <hyperlink r:id="rId1055" ref="B528"/>
    <hyperlink r:id="rId1056" ref="A529"/>
    <hyperlink r:id="rId1057" ref="B529"/>
    <hyperlink r:id="rId1058" ref="A530"/>
    <hyperlink r:id="rId1059" ref="B530"/>
    <hyperlink r:id="rId1060" ref="A531"/>
    <hyperlink r:id="rId1061" ref="B531"/>
    <hyperlink r:id="rId1062" ref="A532"/>
    <hyperlink r:id="rId1063" ref="B532"/>
    <hyperlink r:id="rId1064" ref="A533"/>
    <hyperlink r:id="rId1065" ref="B533"/>
    <hyperlink r:id="rId1066" ref="A534"/>
    <hyperlink r:id="rId1067" ref="B534"/>
    <hyperlink r:id="rId1068" ref="A535"/>
    <hyperlink r:id="rId1069" ref="B535"/>
    <hyperlink r:id="rId1070" ref="A536"/>
    <hyperlink r:id="rId1071" ref="B536"/>
    <hyperlink r:id="rId1072" ref="A537"/>
    <hyperlink r:id="rId1073" ref="B537"/>
    <hyperlink r:id="rId1074" ref="A538"/>
    <hyperlink r:id="rId1075" ref="B538"/>
    <hyperlink r:id="rId1076" ref="A539"/>
    <hyperlink r:id="rId1077" ref="B539"/>
    <hyperlink r:id="rId1078" ref="A540"/>
    <hyperlink r:id="rId1079" ref="B540"/>
    <hyperlink r:id="rId1080" ref="A541"/>
    <hyperlink r:id="rId1081" ref="B541"/>
    <hyperlink r:id="rId1082" ref="A542"/>
    <hyperlink r:id="rId1083" ref="B542"/>
    <hyperlink r:id="rId1084" ref="A543"/>
    <hyperlink r:id="rId1085" ref="B543"/>
    <hyperlink r:id="rId1086" ref="A544"/>
    <hyperlink r:id="rId1087" ref="B544"/>
    <hyperlink r:id="rId1088" ref="A545"/>
    <hyperlink r:id="rId1089" ref="B545"/>
    <hyperlink r:id="rId1090" ref="A546"/>
    <hyperlink r:id="rId1091" ref="B546"/>
    <hyperlink r:id="rId1092" ref="A547"/>
    <hyperlink r:id="rId1093" ref="B547"/>
    <hyperlink r:id="rId1094" ref="A548"/>
    <hyperlink r:id="rId1095" ref="B548"/>
    <hyperlink r:id="rId1096" ref="A549"/>
    <hyperlink r:id="rId1097" ref="B549"/>
    <hyperlink r:id="rId1098" ref="A550"/>
    <hyperlink r:id="rId1099" ref="B550"/>
    <hyperlink r:id="rId1100" ref="A551"/>
    <hyperlink r:id="rId1101" ref="B551"/>
    <hyperlink r:id="rId1102" ref="A552"/>
    <hyperlink r:id="rId1103" ref="B552"/>
    <hyperlink r:id="rId1104" ref="A553"/>
    <hyperlink r:id="rId1105" ref="B553"/>
    <hyperlink r:id="rId1106" ref="A554"/>
    <hyperlink r:id="rId1107" ref="B554"/>
    <hyperlink r:id="rId1108" ref="A555"/>
    <hyperlink r:id="rId1109" ref="B555"/>
    <hyperlink r:id="rId1110" ref="A556"/>
    <hyperlink r:id="rId1111" ref="B556"/>
    <hyperlink r:id="rId1112" ref="A557"/>
    <hyperlink r:id="rId1113" ref="B557"/>
    <hyperlink r:id="rId1114" ref="A558"/>
    <hyperlink r:id="rId1115" ref="B558"/>
    <hyperlink r:id="rId1116" ref="A559"/>
    <hyperlink r:id="rId1117" ref="B559"/>
    <hyperlink r:id="rId1118" ref="A560"/>
    <hyperlink r:id="rId1119" ref="B560"/>
    <hyperlink r:id="rId1120" ref="A561"/>
    <hyperlink r:id="rId1121" ref="B561"/>
    <hyperlink r:id="rId1122" ref="A562"/>
    <hyperlink r:id="rId1123" ref="B562"/>
    <hyperlink r:id="rId1124" ref="A563"/>
    <hyperlink r:id="rId1125" ref="B563"/>
    <hyperlink r:id="rId1126" ref="A564"/>
    <hyperlink r:id="rId1127" ref="B564"/>
    <hyperlink r:id="rId1128" ref="A565"/>
    <hyperlink r:id="rId1129" ref="B565"/>
    <hyperlink r:id="rId1130" ref="A566"/>
    <hyperlink r:id="rId1131" ref="B566"/>
    <hyperlink r:id="rId1132" ref="A567"/>
    <hyperlink r:id="rId1133" ref="B567"/>
    <hyperlink r:id="rId1134" ref="A568"/>
    <hyperlink r:id="rId1135" ref="B568"/>
    <hyperlink r:id="rId1136" ref="A569"/>
    <hyperlink r:id="rId1137" ref="B569"/>
    <hyperlink r:id="rId1138" ref="A570"/>
    <hyperlink r:id="rId1139" ref="B570"/>
    <hyperlink r:id="rId1140" ref="A571"/>
    <hyperlink r:id="rId1141" ref="B571"/>
    <hyperlink r:id="rId1142" ref="A572"/>
    <hyperlink r:id="rId1143" ref="B572"/>
    <hyperlink r:id="rId1144" ref="A573"/>
    <hyperlink r:id="rId1145" ref="B573"/>
    <hyperlink r:id="rId1146" ref="A574"/>
    <hyperlink r:id="rId1147" ref="B574"/>
    <hyperlink r:id="rId1148" ref="A575"/>
    <hyperlink r:id="rId1149" ref="B575"/>
    <hyperlink r:id="rId1150" ref="A576"/>
    <hyperlink r:id="rId1151" ref="B576"/>
    <hyperlink r:id="rId1152" ref="A577"/>
    <hyperlink r:id="rId1153" ref="B577"/>
    <hyperlink r:id="rId1154" ref="A578"/>
    <hyperlink r:id="rId1155" ref="B578"/>
    <hyperlink r:id="rId1156" ref="A579"/>
    <hyperlink r:id="rId1157" ref="B579"/>
    <hyperlink r:id="rId1158" ref="A580"/>
    <hyperlink r:id="rId1159" ref="B580"/>
    <hyperlink r:id="rId1160" ref="A581"/>
    <hyperlink r:id="rId1161" ref="B581"/>
    <hyperlink r:id="rId1162" ref="A582"/>
    <hyperlink r:id="rId1163" ref="B582"/>
    <hyperlink r:id="rId1164" ref="A583"/>
    <hyperlink r:id="rId1165" ref="B583"/>
    <hyperlink r:id="rId1166" ref="A584"/>
    <hyperlink r:id="rId1167" ref="B584"/>
    <hyperlink r:id="rId1168" ref="A585"/>
    <hyperlink r:id="rId1169" ref="B585"/>
    <hyperlink r:id="rId1170" ref="A586"/>
    <hyperlink r:id="rId1171" ref="B586"/>
    <hyperlink r:id="rId1172" ref="A587"/>
    <hyperlink r:id="rId1173" ref="B587"/>
    <hyperlink r:id="rId1174" ref="A588"/>
    <hyperlink r:id="rId1175" ref="B588"/>
    <hyperlink r:id="rId1176" ref="A589"/>
    <hyperlink r:id="rId1177" ref="B589"/>
    <hyperlink r:id="rId1178" ref="A590"/>
    <hyperlink r:id="rId1179" ref="B590"/>
    <hyperlink r:id="rId1180" ref="A591"/>
    <hyperlink r:id="rId1181" ref="B591"/>
    <hyperlink r:id="rId1182" ref="A592"/>
    <hyperlink r:id="rId1183" ref="B592"/>
    <hyperlink r:id="rId1184" ref="A593"/>
    <hyperlink r:id="rId1185" ref="B593"/>
    <hyperlink r:id="rId1186" ref="A594"/>
    <hyperlink r:id="rId1187" ref="B594"/>
    <hyperlink r:id="rId1188" ref="A595"/>
    <hyperlink r:id="rId1189" ref="B595"/>
    <hyperlink r:id="rId1190" ref="A596"/>
    <hyperlink r:id="rId1191" ref="B596"/>
    <hyperlink r:id="rId1192" ref="A597"/>
    <hyperlink r:id="rId1193" ref="B597"/>
    <hyperlink r:id="rId1194" ref="A598"/>
    <hyperlink r:id="rId1195" ref="B598"/>
    <hyperlink r:id="rId1196" ref="A599"/>
    <hyperlink r:id="rId1197" ref="B599"/>
    <hyperlink r:id="rId1198" ref="A600"/>
    <hyperlink r:id="rId1199" ref="B600"/>
    <hyperlink r:id="rId1200" ref="A601"/>
    <hyperlink r:id="rId1201" ref="B601"/>
    <hyperlink r:id="rId1202" ref="A602"/>
    <hyperlink r:id="rId1203" ref="B602"/>
    <hyperlink r:id="rId1204" ref="A603"/>
    <hyperlink r:id="rId1205" ref="B603"/>
    <hyperlink r:id="rId1206" ref="A604"/>
    <hyperlink r:id="rId1207" ref="B604"/>
    <hyperlink r:id="rId1208" ref="A605"/>
    <hyperlink r:id="rId1209" ref="B605"/>
    <hyperlink r:id="rId1210" ref="A606"/>
    <hyperlink r:id="rId1211" ref="B606"/>
    <hyperlink r:id="rId1212" ref="A607"/>
    <hyperlink r:id="rId1213" ref="B607"/>
    <hyperlink r:id="rId1214" ref="A608"/>
    <hyperlink r:id="rId1215" ref="B608"/>
    <hyperlink r:id="rId1216" ref="A609"/>
    <hyperlink r:id="rId1217" ref="B609"/>
    <hyperlink r:id="rId1218" ref="A610"/>
    <hyperlink r:id="rId1219" ref="B610"/>
    <hyperlink r:id="rId1220" ref="A611"/>
    <hyperlink r:id="rId1221" ref="B611"/>
    <hyperlink r:id="rId1222" ref="A612"/>
    <hyperlink r:id="rId1223" ref="B612"/>
    <hyperlink r:id="rId1224" ref="A613"/>
    <hyperlink r:id="rId1225" ref="B613"/>
    <hyperlink r:id="rId1226" ref="A614"/>
    <hyperlink r:id="rId1227" ref="B614"/>
    <hyperlink r:id="rId1228" ref="A615"/>
    <hyperlink r:id="rId1229" ref="B615"/>
    <hyperlink r:id="rId1230" ref="A616"/>
    <hyperlink r:id="rId1231" ref="B616"/>
    <hyperlink r:id="rId1232" ref="A617"/>
    <hyperlink r:id="rId1233" ref="B617"/>
    <hyperlink r:id="rId1234" ref="A618"/>
    <hyperlink r:id="rId1235" ref="B618"/>
    <hyperlink r:id="rId1236" ref="A619"/>
    <hyperlink r:id="rId1237" ref="B619"/>
    <hyperlink r:id="rId1238" ref="A620"/>
    <hyperlink r:id="rId1239" ref="B620"/>
    <hyperlink r:id="rId1240" ref="A621"/>
    <hyperlink r:id="rId1241" ref="B621"/>
    <hyperlink r:id="rId1242" ref="A622"/>
    <hyperlink r:id="rId1243" ref="B622"/>
    <hyperlink r:id="rId1244" ref="A623"/>
    <hyperlink r:id="rId1245" ref="B623"/>
    <hyperlink r:id="rId1246" ref="A624"/>
    <hyperlink r:id="rId1247" ref="B624"/>
    <hyperlink r:id="rId1248" ref="A625"/>
    <hyperlink r:id="rId1249" ref="B625"/>
    <hyperlink r:id="rId1250" ref="A626"/>
    <hyperlink r:id="rId1251" ref="B626"/>
    <hyperlink r:id="rId1252" ref="A627"/>
    <hyperlink r:id="rId1253" ref="B627"/>
    <hyperlink r:id="rId1254" ref="A628"/>
    <hyperlink r:id="rId1255" ref="B628"/>
    <hyperlink r:id="rId1256" ref="A629"/>
    <hyperlink r:id="rId1257" ref="B629"/>
    <hyperlink r:id="rId1258" ref="A630"/>
    <hyperlink r:id="rId1259" ref="B630"/>
    <hyperlink r:id="rId1260" ref="A631"/>
    <hyperlink r:id="rId1261" ref="B631"/>
    <hyperlink r:id="rId1262" ref="A632"/>
    <hyperlink r:id="rId1263" ref="B632"/>
    <hyperlink r:id="rId1264" ref="A633"/>
    <hyperlink r:id="rId1265" ref="B633"/>
    <hyperlink r:id="rId1266" ref="A634"/>
    <hyperlink r:id="rId1267" ref="B634"/>
    <hyperlink r:id="rId1268" ref="A635"/>
    <hyperlink r:id="rId1269" ref="B635"/>
    <hyperlink r:id="rId1270" ref="A636"/>
    <hyperlink r:id="rId1271" ref="B636"/>
    <hyperlink r:id="rId1272" ref="A637"/>
    <hyperlink r:id="rId1273" ref="B637"/>
    <hyperlink r:id="rId1274" ref="A638"/>
    <hyperlink r:id="rId1275" ref="B638"/>
    <hyperlink r:id="rId1276" ref="A639"/>
    <hyperlink r:id="rId1277" ref="B639"/>
    <hyperlink r:id="rId1278" ref="A640"/>
    <hyperlink r:id="rId1279" ref="B640"/>
    <hyperlink r:id="rId1280" ref="A641"/>
    <hyperlink r:id="rId1281" ref="B641"/>
    <hyperlink r:id="rId1282" ref="A642"/>
    <hyperlink r:id="rId1283" ref="B642"/>
    <hyperlink r:id="rId1284" ref="A643"/>
    <hyperlink r:id="rId1285" ref="B643"/>
    <hyperlink r:id="rId1286" ref="A644"/>
    <hyperlink r:id="rId1287" ref="B644"/>
    <hyperlink r:id="rId1288" ref="A645"/>
    <hyperlink r:id="rId1289" ref="B645"/>
    <hyperlink r:id="rId1290" ref="A646"/>
    <hyperlink r:id="rId1291" ref="B646"/>
    <hyperlink r:id="rId1292" ref="A647"/>
    <hyperlink r:id="rId1293" ref="B647"/>
    <hyperlink r:id="rId1294" ref="A648"/>
    <hyperlink r:id="rId1295" ref="B648"/>
    <hyperlink r:id="rId1296" ref="A649"/>
    <hyperlink r:id="rId1297" ref="B649"/>
    <hyperlink r:id="rId1298" ref="A650"/>
    <hyperlink r:id="rId1299" ref="B650"/>
    <hyperlink r:id="rId1300" ref="A651"/>
    <hyperlink r:id="rId1301" ref="B651"/>
    <hyperlink r:id="rId1302" ref="A652"/>
    <hyperlink r:id="rId1303" ref="B652"/>
    <hyperlink r:id="rId1304" ref="A653"/>
    <hyperlink r:id="rId1305" ref="B653"/>
    <hyperlink r:id="rId1306" ref="A654"/>
    <hyperlink r:id="rId1307" ref="B654"/>
    <hyperlink r:id="rId1308" ref="A655"/>
    <hyperlink r:id="rId1309" ref="B655"/>
    <hyperlink r:id="rId1310" ref="A656"/>
    <hyperlink r:id="rId1311" ref="B656"/>
    <hyperlink r:id="rId1312" ref="A657"/>
    <hyperlink r:id="rId1313" ref="B657"/>
    <hyperlink r:id="rId1314" ref="A658"/>
    <hyperlink r:id="rId1315" ref="B658"/>
    <hyperlink r:id="rId1316" ref="A659"/>
    <hyperlink r:id="rId1317" ref="B659"/>
    <hyperlink r:id="rId1318" ref="A660"/>
    <hyperlink r:id="rId1319" ref="B660"/>
    <hyperlink r:id="rId1320" ref="A661"/>
    <hyperlink r:id="rId1321" ref="B661"/>
    <hyperlink r:id="rId1322" ref="A662"/>
    <hyperlink r:id="rId1323" ref="B662"/>
    <hyperlink r:id="rId1324" ref="A663"/>
    <hyperlink r:id="rId1325" ref="B663"/>
    <hyperlink r:id="rId1326" ref="A664"/>
    <hyperlink r:id="rId1327" ref="B664"/>
    <hyperlink r:id="rId1328" ref="A665"/>
    <hyperlink r:id="rId1329" ref="B665"/>
    <hyperlink r:id="rId1330" ref="A666"/>
    <hyperlink r:id="rId1331" ref="B666"/>
    <hyperlink r:id="rId1332" ref="A667"/>
    <hyperlink r:id="rId1333" ref="B667"/>
    <hyperlink r:id="rId1334" ref="A668"/>
    <hyperlink r:id="rId1335" ref="B668"/>
    <hyperlink r:id="rId1336" ref="A669"/>
    <hyperlink r:id="rId1337" ref="B669"/>
    <hyperlink r:id="rId1338" ref="A670"/>
    <hyperlink r:id="rId1339" ref="B670"/>
    <hyperlink r:id="rId1340" ref="A671"/>
    <hyperlink r:id="rId1341" ref="B671"/>
    <hyperlink r:id="rId1342" ref="A672"/>
    <hyperlink r:id="rId1343" ref="B672"/>
    <hyperlink r:id="rId1344" ref="A673"/>
    <hyperlink r:id="rId1345" ref="B673"/>
    <hyperlink r:id="rId1346" ref="A674"/>
    <hyperlink r:id="rId1347" ref="B674"/>
    <hyperlink r:id="rId1348" ref="A675"/>
    <hyperlink r:id="rId1349" ref="B675"/>
    <hyperlink r:id="rId1350" ref="A676"/>
    <hyperlink r:id="rId1351" ref="B676"/>
    <hyperlink r:id="rId1352" ref="A677"/>
    <hyperlink r:id="rId1353" ref="B677"/>
    <hyperlink r:id="rId1354" ref="A678"/>
    <hyperlink r:id="rId1355" ref="B678"/>
    <hyperlink r:id="rId1356" ref="A679"/>
    <hyperlink r:id="rId1357" ref="B679"/>
    <hyperlink r:id="rId1358" ref="A680"/>
    <hyperlink r:id="rId1359" ref="B680"/>
    <hyperlink r:id="rId1360" ref="A681"/>
    <hyperlink r:id="rId1361" ref="B681"/>
    <hyperlink r:id="rId1362" ref="A682"/>
    <hyperlink r:id="rId1363" ref="B682"/>
    <hyperlink r:id="rId1364" ref="A683"/>
    <hyperlink r:id="rId1365" ref="B683"/>
    <hyperlink r:id="rId1366" ref="A684"/>
    <hyperlink r:id="rId1367" ref="B684"/>
    <hyperlink r:id="rId1368" ref="A685"/>
    <hyperlink r:id="rId1369" ref="B685"/>
    <hyperlink r:id="rId1370" ref="A686"/>
    <hyperlink r:id="rId1371" ref="B686"/>
    <hyperlink r:id="rId1372" ref="A687"/>
    <hyperlink r:id="rId1373" ref="B687"/>
    <hyperlink r:id="rId1374" ref="A688"/>
    <hyperlink r:id="rId1375" ref="B688"/>
    <hyperlink r:id="rId1376" ref="A689"/>
    <hyperlink r:id="rId1377" ref="B689"/>
    <hyperlink r:id="rId1378" ref="A690"/>
    <hyperlink r:id="rId1379" ref="B690"/>
    <hyperlink r:id="rId1380" ref="A691"/>
    <hyperlink r:id="rId1381" ref="B691"/>
    <hyperlink r:id="rId1382" ref="A692"/>
    <hyperlink r:id="rId1383" ref="B692"/>
    <hyperlink r:id="rId1384" ref="A693"/>
    <hyperlink r:id="rId1385" ref="B693"/>
    <hyperlink r:id="rId1386" ref="A694"/>
    <hyperlink r:id="rId1387" ref="B694"/>
    <hyperlink r:id="rId1388" ref="A695"/>
    <hyperlink r:id="rId1389" ref="B695"/>
    <hyperlink r:id="rId1390" ref="A696"/>
    <hyperlink r:id="rId1391" ref="B696"/>
    <hyperlink r:id="rId1392" ref="A697"/>
    <hyperlink r:id="rId1393" ref="B697"/>
    <hyperlink r:id="rId1394" ref="A698"/>
    <hyperlink r:id="rId1395" ref="B698"/>
    <hyperlink r:id="rId1396" ref="A699"/>
    <hyperlink r:id="rId1397" ref="B699"/>
    <hyperlink r:id="rId1398" ref="A700"/>
    <hyperlink r:id="rId1399" ref="B700"/>
    <hyperlink r:id="rId1400" ref="A701"/>
    <hyperlink r:id="rId1401" ref="B701"/>
    <hyperlink r:id="rId1402" ref="A702"/>
    <hyperlink r:id="rId1403" ref="B702"/>
    <hyperlink r:id="rId1404" ref="A703"/>
    <hyperlink r:id="rId1405" ref="B703"/>
    <hyperlink r:id="rId1406" ref="A704"/>
    <hyperlink r:id="rId1407" ref="B704"/>
    <hyperlink r:id="rId1408" ref="A705"/>
    <hyperlink r:id="rId1409" ref="B705"/>
    <hyperlink r:id="rId1410" ref="A706"/>
    <hyperlink r:id="rId1411" ref="B706"/>
    <hyperlink r:id="rId1412" ref="A707"/>
    <hyperlink r:id="rId1413" ref="B707"/>
    <hyperlink r:id="rId1414" ref="A708"/>
    <hyperlink r:id="rId1415" ref="B708"/>
    <hyperlink r:id="rId1416" ref="A709"/>
    <hyperlink r:id="rId1417" ref="B709"/>
    <hyperlink r:id="rId1418" ref="A710"/>
    <hyperlink r:id="rId1419" ref="B710"/>
    <hyperlink r:id="rId1420" ref="A711"/>
    <hyperlink r:id="rId1421" ref="B711"/>
    <hyperlink r:id="rId1422" ref="A712"/>
    <hyperlink r:id="rId1423" ref="B712"/>
    <hyperlink r:id="rId1424" ref="A713"/>
    <hyperlink r:id="rId1425" ref="B713"/>
    <hyperlink r:id="rId1426" ref="A714"/>
    <hyperlink r:id="rId1427" ref="B714"/>
    <hyperlink r:id="rId1428" ref="A715"/>
    <hyperlink r:id="rId1429" ref="B715"/>
    <hyperlink r:id="rId1430" ref="A716"/>
    <hyperlink r:id="rId1431" ref="B716"/>
    <hyperlink r:id="rId1432" ref="A717"/>
    <hyperlink r:id="rId1433" ref="B717"/>
    <hyperlink r:id="rId1434" ref="A718"/>
    <hyperlink r:id="rId1435" ref="B718"/>
    <hyperlink r:id="rId1436" ref="A719"/>
    <hyperlink r:id="rId1437" ref="B719"/>
    <hyperlink r:id="rId1438" ref="A720"/>
    <hyperlink r:id="rId1439" ref="B720"/>
    <hyperlink r:id="rId1440" ref="A721"/>
    <hyperlink r:id="rId1441" ref="B721"/>
    <hyperlink r:id="rId1442" ref="A722"/>
    <hyperlink r:id="rId1443" ref="B722"/>
    <hyperlink r:id="rId1444" ref="A723"/>
    <hyperlink r:id="rId1445" ref="B723"/>
    <hyperlink r:id="rId1446" ref="A724"/>
    <hyperlink r:id="rId1447" ref="B724"/>
    <hyperlink r:id="rId1448" ref="A725"/>
    <hyperlink r:id="rId1449" ref="B725"/>
    <hyperlink r:id="rId1450" ref="A726"/>
    <hyperlink r:id="rId1451" ref="B726"/>
    <hyperlink r:id="rId1452" ref="A727"/>
    <hyperlink r:id="rId1453" ref="B727"/>
    <hyperlink r:id="rId1454" ref="A728"/>
    <hyperlink r:id="rId1455" ref="B728"/>
    <hyperlink r:id="rId1456" ref="A729"/>
    <hyperlink r:id="rId1457" ref="B729"/>
    <hyperlink r:id="rId1458" ref="A730"/>
    <hyperlink r:id="rId1459" ref="B730"/>
    <hyperlink r:id="rId1460" ref="A731"/>
    <hyperlink r:id="rId1461" ref="B731"/>
    <hyperlink r:id="rId1462" ref="A732"/>
    <hyperlink r:id="rId1463" ref="B732"/>
    <hyperlink r:id="rId1464" ref="A733"/>
    <hyperlink r:id="rId1465" ref="B733"/>
    <hyperlink r:id="rId1466" ref="A734"/>
    <hyperlink r:id="rId1467" ref="B734"/>
    <hyperlink r:id="rId1468" ref="A735"/>
    <hyperlink r:id="rId1469" ref="B735"/>
    <hyperlink r:id="rId1470" ref="A736"/>
    <hyperlink r:id="rId1471" ref="B736"/>
    <hyperlink r:id="rId1472" ref="A737"/>
    <hyperlink r:id="rId1473" ref="B737"/>
    <hyperlink r:id="rId1474" ref="A738"/>
    <hyperlink r:id="rId1475" ref="B738"/>
    <hyperlink r:id="rId1476" ref="A739"/>
    <hyperlink r:id="rId1477" ref="B739"/>
    <hyperlink r:id="rId1478" ref="A740"/>
    <hyperlink r:id="rId1479" ref="B740"/>
    <hyperlink r:id="rId1480" ref="A741"/>
    <hyperlink r:id="rId1481" ref="B741"/>
    <hyperlink r:id="rId1482" ref="A742"/>
    <hyperlink r:id="rId1483" ref="B742"/>
    <hyperlink r:id="rId1484" ref="A743"/>
    <hyperlink r:id="rId1485" ref="B743"/>
    <hyperlink r:id="rId1486" ref="A744"/>
    <hyperlink r:id="rId1487" ref="B744"/>
    <hyperlink r:id="rId1488" ref="A745"/>
    <hyperlink r:id="rId1489" ref="B745"/>
    <hyperlink r:id="rId1490" ref="A746"/>
    <hyperlink r:id="rId1491" ref="B746"/>
    <hyperlink r:id="rId1492" ref="A747"/>
    <hyperlink r:id="rId1493" ref="B747"/>
    <hyperlink r:id="rId1494" ref="A748"/>
    <hyperlink r:id="rId1495" ref="B748"/>
    <hyperlink r:id="rId1496" ref="A749"/>
    <hyperlink r:id="rId1497" ref="B749"/>
    <hyperlink r:id="rId1498" ref="A750"/>
    <hyperlink r:id="rId1499" ref="B750"/>
    <hyperlink r:id="rId1500" ref="A751"/>
    <hyperlink r:id="rId1501" ref="B751"/>
    <hyperlink r:id="rId1502" ref="A752"/>
    <hyperlink r:id="rId1503" ref="B752"/>
    <hyperlink r:id="rId1504" ref="A753"/>
    <hyperlink r:id="rId1505" ref="B753"/>
    <hyperlink r:id="rId1506" ref="A754"/>
    <hyperlink r:id="rId1507" ref="B754"/>
    <hyperlink r:id="rId1508" ref="A755"/>
    <hyperlink r:id="rId1509" ref="B755"/>
    <hyperlink r:id="rId1510" ref="A756"/>
    <hyperlink r:id="rId1511" ref="B756"/>
    <hyperlink r:id="rId1512" ref="A757"/>
    <hyperlink r:id="rId1513" ref="B757"/>
    <hyperlink r:id="rId1514" ref="A758"/>
    <hyperlink r:id="rId1515" ref="B758"/>
    <hyperlink r:id="rId1516" ref="A759"/>
    <hyperlink r:id="rId1517" ref="B759"/>
    <hyperlink r:id="rId1518" ref="A760"/>
    <hyperlink r:id="rId1519" ref="B760"/>
    <hyperlink r:id="rId1520" ref="A761"/>
    <hyperlink r:id="rId1521" ref="B761"/>
    <hyperlink r:id="rId1522" ref="A762"/>
    <hyperlink r:id="rId1523" ref="B762"/>
    <hyperlink r:id="rId1524" ref="A763"/>
    <hyperlink r:id="rId1525" ref="B763"/>
    <hyperlink r:id="rId1526" ref="A764"/>
    <hyperlink r:id="rId1527" ref="B764"/>
    <hyperlink r:id="rId1528" ref="A765"/>
    <hyperlink r:id="rId1529" ref="B765"/>
    <hyperlink r:id="rId1530" ref="A766"/>
    <hyperlink r:id="rId1531" ref="B766"/>
    <hyperlink r:id="rId1532" ref="A767"/>
    <hyperlink r:id="rId1533" ref="B767"/>
    <hyperlink r:id="rId1534" ref="A768"/>
    <hyperlink r:id="rId1535" ref="B768"/>
    <hyperlink r:id="rId1536" ref="A769"/>
    <hyperlink r:id="rId1537" ref="B769"/>
    <hyperlink r:id="rId1538" ref="A770"/>
    <hyperlink r:id="rId1539" ref="B770"/>
    <hyperlink r:id="rId1540" ref="A771"/>
    <hyperlink r:id="rId1541" ref="B771"/>
    <hyperlink r:id="rId1542" ref="A772"/>
    <hyperlink r:id="rId1543" ref="B772"/>
    <hyperlink r:id="rId1544" ref="A773"/>
    <hyperlink r:id="rId1545" ref="B773"/>
    <hyperlink r:id="rId1546" ref="A774"/>
    <hyperlink r:id="rId1547" ref="B774"/>
    <hyperlink r:id="rId1548" ref="A775"/>
    <hyperlink r:id="rId1549" ref="B775"/>
    <hyperlink r:id="rId1550" ref="A776"/>
    <hyperlink r:id="rId1551" ref="B776"/>
    <hyperlink r:id="rId1552" ref="A777"/>
    <hyperlink r:id="rId1553" ref="B777"/>
    <hyperlink r:id="rId1554" ref="A778"/>
    <hyperlink r:id="rId1555" ref="B778"/>
    <hyperlink r:id="rId1556" ref="A779"/>
    <hyperlink r:id="rId1557" ref="B779"/>
    <hyperlink r:id="rId1558" ref="A780"/>
    <hyperlink r:id="rId1559" ref="B780"/>
    <hyperlink r:id="rId1560" ref="A781"/>
    <hyperlink r:id="rId1561" ref="B781"/>
    <hyperlink r:id="rId1562" ref="A782"/>
    <hyperlink r:id="rId1563" ref="B782"/>
    <hyperlink r:id="rId1564" ref="A783"/>
    <hyperlink r:id="rId1565" ref="B783"/>
    <hyperlink r:id="rId1566" ref="A784"/>
    <hyperlink r:id="rId1567" ref="B784"/>
    <hyperlink r:id="rId1568" ref="A785"/>
    <hyperlink r:id="rId1569" ref="B785"/>
    <hyperlink r:id="rId1570" ref="A786"/>
    <hyperlink r:id="rId1571" ref="B786"/>
    <hyperlink r:id="rId1572" ref="A787"/>
    <hyperlink r:id="rId1573" ref="B787"/>
    <hyperlink r:id="rId1574" ref="A788"/>
    <hyperlink r:id="rId1575" ref="B788"/>
    <hyperlink r:id="rId1576" ref="A789"/>
    <hyperlink r:id="rId1577" ref="B789"/>
    <hyperlink r:id="rId1578" ref="A790"/>
    <hyperlink r:id="rId1579" ref="B790"/>
    <hyperlink r:id="rId1580" ref="A791"/>
    <hyperlink r:id="rId1581" ref="B791"/>
    <hyperlink r:id="rId1582" ref="A792"/>
    <hyperlink r:id="rId1583" ref="B792"/>
    <hyperlink r:id="rId1584" ref="A793"/>
    <hyperlink r:id="rId1585" ref="B793"/>
    <hyperlink r:id="rId1586" ref="A794"/>
    <hyperlink r:id="rId1587" ref="B794"/>
    <hyperlink r:id="rId1588" ref="A795"/>
    <hyperlink r:id="rId1589" ref="B795"/>
    <hyperlink r:id="rId1590" ref="A796"/>
    <hyperlink r:id="rId1591" ref="B796"/>
    <hyperlink r:id="rId1592" ref="A797"/>
    <hyperlink r:id="rId1593" ref="B797"/>
    <hyperlink r:id="rId1594" ref="A798"/>
    <hyperlink r:id="rId1595" ref="B798"/>
    <hyperlink r:id="rId1596" ref="A799"/>
    <hyperlink r:id="rId1597" ref="B799"/>
    <hyperlink r:id="rId1598" ref="A800"/>
    <hyperlink r:id="rId1599" ref="B800"/>
    <hyperlink r:id="rId1600" ref="A801"/>
    <hyperlink r:id="rId1601" ref="B801"/>
    <hyperlink r:id="rId1602" ref="A802"/>
    <hyperlink r:id="rId1603" ref="B802"/>
    <hyperlink r:id="rId1604" ref="A803"/>
    <hyperlink r:id="rId1605" ref="B803"/>
    <hyperlink r:id="rId1606" ref="A804"/>
    <hyperlink r:id="rId1607" ref="B804"/>
    <hyperlink r:id="rId1608" ref="A805"/>
    <hyperlink r:id="rId1609" ref="B805"/>
    <hyperlink r:id="rId1610" ref="A806"/>
    <hyperlink r:id="rId1611" ref="B806"/>
    <hyperlink r:id="rId1612" ref="A807"/>
    <hyperlink r:id="rId1613" ref="B807"/>
    <hyperlink r:id="rId1614" ref="A808"/>
    <hyperlink r:id="rId1615" ref="B808"/>
    <hyperlink r:id="rId1616" ref="A809"/>
    <hyperlink r:id="rId1617" ref="B809"/>
    <hyperlink r:id="rId1618" ref="A810"/>
    <hyperlink r:id="rId1619" ref="B810"/>
    <hyperlink r:id="rId1620" ref="A811"/>
    <hyperlink r:id="rId1621" ref="B811"/>
    <hyperlink r:id="rId1622" ref="A812"/>
    <hyperlink r:id="rId1623" ref="B812"/>
    <hyperlink r:id="rId1624" ref="A813"/>
    <hyperlink r:id="rId1625" ref="B813"/>
    <hyperlink r:id="rId1626" ref="A814"/>
    <hyperlink r:id="rId1627" ref="B814"/>
    <hyperlink r:id="rId1628" ref="A815"/>
    <hyperlink r:id="rId1629" ref="B815"/>
    <hyperlink r:id="rId1630" ref="A816"/>
    <hyperlink r:id="rId1631" ref="B816"/>
    <hyperlink r:id="rId1632" ref="A817"/>
    <hyperlink r:id="rId1633" ref="B817"/>
    <hyperlink r:id="rId1634" ref="A818"/>
    <hyperlink r:id="rId1635" ref="B818"/>
    <hyperlink r:id="rId1636" ref="A819"/>
    <hyperlink r:id="rId1637" ref="B819"/>
    <hyperlink r:id="rId1638" ref="A820"/>
    <hyperlink r:id="rId1639" ref="B820"/>
    <hyperlink r:id="rId1640" ref="A821"/>
    <hyperlink r:id="rId1641" ref="B821"/>
    <hyperlink r:id="rId1642" ref="A822"/>
    <hyperlink r:id="rId1643" ref="B822"/>
    <hyperlink r:id="rId1644" ref="A823"/>
    <hyperlink r:id="rId1645" ref="B823"/>
    <hyperlink r:id="rId1646" ref="A824"/>
    <hyperlink r:id="rId1647" ref="B824"/>
    <hyperlink r:id="rId1648" ref="A825"/>
    <hyperlink r:id="rId1649" ref="B825"/>
    <hyperlink r:id="rId1650" ref="A826"/>
    <hyperlink r:id="rId1651" ref="B826"/>
    <hyperlink r:id="rId1652" ref="A827"/>
    <hyperlink r:id="rId1653" ref="B827"/>
    <hyperlink r:id="rId1654" ref="A828"/>
    <hyperlink r:id="rId1655" ref="B828"/>
    <hyperlink r:id="rId1656" ref="A829"/>
    <hyperlink r:id="rId1657" ref="B829"/>
    <hyperlink r:id="rId1658" ref="A830"/>
    <hyperlink r:id="rId1659" ref="B830"/>
    <hyperlink r:id="rId1660" ref="A831"/>
    <hyperlink r:id="rId1661" ref="B831"/>
    <hyperlink r:id="rId1662" ref="A832"/>
    <hyperlink r:id="rId1663" ref="B832"/>
    <hyperlink r:id="rId1664" ref="A833"/>
    <hyperlink r:id="rId1665" ref="B833"/>
    <hyperlink r:id="rId1666" ref="A834"/>
    <hyperlink r:id="rId1667" ref="B834"/>
    <hyperlink r:id="rId1668" ref="A835"/>
    <hyperlink r:id="rId1669" ref="B835"/>
    <hyperlink r:id="rId1670" ref="A836"/>
    <hyperlink r:id="rId1671" ref="B836"/>
    <hyperlink r:id="rId1672" ref="A837"/>
    <hyperlink r:id="rId1673" ref="B837"/>
    <hyperlink r:id="rId1674" ref="A838"/>
    <hyperlink r:id="rId1675" ref="B838"/>
    <hyperlink r:id="rId1676" ref="A839"/>
    <hyperlink r:id="rId1677" ref="B839"/>
    <hyperlink r:id="rId1678" ref="A840"/>
    <hyperlink r:id="rId1679" ref="B840"/>
    <hyperlink r:id="rId1680" ref="A841"/>
    <hyperlink r:id="rId1681" ref="B841"/>
    <hyperlink r:id="rId1682" ref="A842"/>
    <hyperlink r:id="rId1683" ref="B842"/>
    <hyperlink r:id="rId1684" ref="A843"/>
    <hyperlink r:id="rId1685" ref="B843"/>
    <hyperlink r:id="rId1686" ref="A844"/>
    <hyperlink r:id="rId1687" ref="B844"/>
    <hyperlink r:id="rId1688" ref="A845"/>
    <hyperlink r:id="rId1689" ref="B845"/>
    <hyperlink r:id="rId1690" ref="A846"/>
    <hyperlink r:id="rId1691" ref="B846"/>
    <hyperlink r:id="rId1692" ref="A847"/>
    <hyperlink r:id="rId1693" ref="B847"/>
    <hyperlink r:id="rId1694" ref="A848"/>
    <hyperlink r:id="rId1695" ref="B848"/>
    <hyperlink r:id="rId1696" ref="A849"/>
    <hyperlink r:id="rId1697" ref="B849"/>
    <hyperlink r:id="rId1698" ref="A850"/>
    <hyperlink r:id="rId1699" ref="B850"/>
    <hyperlink r:id="rId1700" ref="A851"/>
    <hyperlink r:id="rId1701" ref="B851"/>
    <hyperlink r:id="rId1702" ref="A852"/>
    <hyperlink r:id="rId1703" ref="B852"/>
    <hyperlink r:id="rId1704" ref="A853"/>
    <hyperlink r:id="rId1705" ref="B853"/>
    <hyperlink r:id="rId1706" ref="A854"/>
    <hyperlink r:id="rId1707" ref="B854"/>
    <hyperlink r:id="rId1708" ref="A855"/>
    <hyperlink r:id="rId1709" ref="B855"/>
    <hyperlink r:id="rId1710" ref="A856"/>
    <hyperlink r:id="rId1711" ref="B856"/>
    <hyperlink r:id="rId1712" ref="A857"/>
    <hyperlink r:id="rId1713" ref="B857"/>
    <hyperlink r:id="rId1714" ref="A858"/>
    <hyperlink r:id="rId1715" ref="B858"/>
    <hyperlink r:id="rId1716" ref="A859"/>
    <hyperlink r:id="rId1717" ref="B859"/>
    <hyperlink r:id="rId1718" ref="A860"/>
    <hyperlink r:id="rId1719" ref="B860"/>
    <hyperlink r:id="rId1720" ref="A861"/>
    <hyperlink r:id="rId1721" ref="B861"/>
    <hyperlink r:id="rId1722" ref="A862"/>
    <hyperlink r:id="rId1723" ref="B862"/>
    <hyperlink r:id="rId1724" ref="A863"/>
    <hyperlink r:id="rId1725" ref="B863"/>
    <hyperlink r:id="rId1726" ref="A864"/>
    <hyperlink r:id="rId1727" ref="B864"/>
    <hyperlink r:id="rId1728" ref="A865"/>
    <hyperlink r:id="rId1729" ref="B865"/>
    <hyperlink r:id="rId1730" ref="A866"/>
    <hyperlink r:id="rId1731" ref="B866"/>
    <hyperlink r:id="rId1732" ref="A867"/>
    <hyperlink r:id="rId1733" ref="B867"/>
    <hyperlink r:id="rId1734" ref="A868"/>
    <hyperlink r:id="rId1735" ref="B868"/>
    <hyperlink r:id="rId1736" ref="A869"/>
    <hyperlink r:id="rId1737" ref="B869"/>
    <hyperlink r:id="rId1738" ref="A870"/>
    <hyperlink r:id="rId1739" ref="B870"/>
    <hyperlink r:id="rId1740" ref="A871"/>
    <hyperlink r:id="rId1741" ref="B871"/>
    <hyperlink r:id="rId1742" ref="A872"/>
    <hyperlink r:id="rId1743" ref="B872"/>
    <hyperlink r:id="rId1744" ref="A873"/>
    <hyperlink r:id="rId1745" ref="B873"/>
    <hyperlink r:id="rId1746" ref="A874"/>
    <hyperlink r:id="rId1747" ref="B874"/>
    <hyperlink r:id="rId1748" ref="A875"/>
    <hyperlink r:id="rId1749" ref="B875"/>
    <hyperlink r:id="rId1750" ref="A876"/>
    <hyperlink r:id="rId1751" ref="B876"/>
    <hyperlink r:id="rId1752" ref="A877"/>
    <hyperlink r:id="rId1753" ref="B877"/>
    <hyperlink r:id="rId1754" ref="A878"/>
    <hyperlink r:id="rId1755" ref="B878"/>
    <hyperlink r:id="rId1756" ref="A879"/>
    <hyperlink r:id="rId1757" ref="B879"/>
    <hyperlink r:id="rId1758" ref="A880"/>
    <hyperlink r:id="rId1759" ref="B880"/>
    <hyperlink r:id="rId1760" ref="A881"/>
    <hyperlink r:id="rId1761" ref="B881"/>
    <hyperlink r:id="rId1762" ref="A882"/>
    <hyperlink r:id="rId1763" ref="B882"/>
    <hyperlink r:id="rId1764" ref="A883"/>
    <hyperlink r:id="rId1765" ref="B883"/>
    <hyperlink r:id="rId1766" ref="A884"/>
    <hyperlink r:id="rId1767" ref="B884"/>
    <hyperlink r:id="rId1768" ref="A885"/>
    <hyperlink r:id="rId1769" ref="B885"/>
    <hyperlink r:id="rId1770" ref="A886"/>
    <hyperlink r:id="rId1771" ref="B886"/>
    <hyperlink r:id="rId1772" ref="A887"/>
    <hyperlink r:id="rId1773" ref="B887"/>
    <hyperlink r:id="rId1774" ref="A888"/>
    <hyperlink r:id="rId1775" ref="B888"/>
    <hyperlink r:id="rId1776" ref="A889"/>
    <hyperlink r:id="rId1777" ref="B889"/>
    <hyperlink r:id="rId1778" ref="A890"/>
    <hyperlink r:id="rId1779" ref="B890"/>
    <hyperlink r:id="rId1780" ref="A891"/>
    <hyperlink r:id="rId1781" ref="B891"/>
    <hyperlink r:id="rId1782" ref="A892"/>
    <hyperlink r:id="rId1783" ref="B892"/>
    <hyperlink r:id="rId1784" ref="A893"/>
    <hyperlink r:id="rId1785" ref="B893"/>
    <hyperlink r:id="rId1786" ref="A894"/>
    <hyperlink r:id="rId1787" ref="B894"/>
    <hyperlink r:id="rId1788" ref="A895"/>
    <hyperlink r:id="rId1789" ref="B895"/>
    <hyperlink r:id="rId1790" ref="A896"/>
    <hyperlink r:id="rId1791" ref="B896"/>
    <hyperlink r:id="rId1792" ref="A897"/>
    <hyperlink r:id="rId1793" ref="B897"/>
    <hyperlink r:id="rId1794" ref="A898"/>
    <hyperlink r:id="rId1795" ref="B898"/>
    <hyperlink r:id="rId1796" ref="A899"/>
    <hyperlink r:id="rId1797" ref="B899"/>
    <hyperlink r:id="rId1798" ref="A900"/>
    <hyperlink r:id="rId1799" ref="B900"/>
    <hyperlink r:id="rId1800" ref="A901"/>
    <hyperlink r:id="rId1801" ref="B901"/>
    <hyperlink r:id="rId1802" ref="A902"/>
    <hyperlink r:id="rId1803" ref="B902"/>
    <hyperlink r:id="rId1804" ref="A903"/>
    <hyperlink r:id="rId1805" ref="B903"/>
    <hyperlink r:id="rId1806" ref="A904"/>
    <hyperlink r:id="rId1807" ref="B904"/>
    <hyperlink r:id="rId1808" ref="A905"/>
    <hyperlink r:id="rId1809" ref="B905"/>
    <hyperlink r:id="rId1810" ref="A906"/>
    <hyperlink r:id="rId1811" ref="B906"/>
    <hyperlink r:id="rId1812" ref="A907"/>
    <hyperlink r:id="rId1813" ref="B907"/>
    <hyperlink r:id="rId1814" ref="A908"/>
    <hyperlink r:id="rId1815" ref="B908"/>
    <hyperlink r:id="rId1816" ref="A909"/>
    <hyperlink r:id="rId1817" ref="B909"/>
    <hyperlink r:id="rId1818" ref="A910"/>
    <hyperlink r:id="rId1819" ref="B910"/>
    <hyperlink r:id="rId1820" ref="A911"/>
    <hyperlink r:id="rId1821" ref="B911"/>
    <hyperlink r:id="rId1822" ref="A912"/>
    <hyperlink r:id="rId1823" ref="B912"/>
    <hyperlink r:id="rId1824" ref="A913"/>
    <hyperlink r:id="rId1825" ref="B913"/>
    <hyperlink r:id="rId1826" ref="A914"/>
    <hyperlink r:id="rId1827" ref="B914"/>
    <hyperlink r:id="rId1828" ref="A915"/>
    <hyperlink r:id="rId1829" ref="B915"/>
    <hyperlink r:id="rId1830" ref="A916"/>
    <hyperlink r:id="rId1831" ref="B916"/>
    <hyperlink r:id="rId1832" ref="A917"/>
    <hyperlink r:id="rId1833" ref="B917"/>
    <hyperlink r:id="rId1834" ref="A918"/>
    <hyperlink r:id="rId1835" ref="B918"/>
    <hyperlink r:id="rId1836" ref="A919"/>
    <hyperlink r:id="rId1837" ref="B919"/>
    <hyperlink r:id="rId1838" ref="A920"/>
    <hyperlink r:id="rId1839" ref="B920"/>
    <hyperlink r:id="rId1840" ref="A921"/>
    <hyperlink r:id="rId1841" ref="B921"/>
    <hyperlink r:id="rId1842" ref="A922"/>
    <hyperlink r:id="rId1843" ref="B922"/>
    <hyperlink r:id="rId1844" ref="A923"/>
    <hyperlink r:id="rId1845" ref="B923"/>
    <hyperlink r:id="rId1846" ref="A924"/>
    <hyperlink r:id="rId1847" ref="B924"/>
    <hyperlink r:id="rId1848" ref="A925"/>
    <hyperlink r:id="rId1849" ref="B925"/>
    <hyperlink r:id="rId1850" ref="A926"/>
    <hyperlink r:id="rId1851" ref="B926"/>
    <hyperlink r:id="rId1852" ref="A927"/>
    <hyperlink r:id="rId1853" ref="B927"/>
    <hyperlink r:id="rId1854" ref="A928"/>
    <hyperlink r:id="rId1855" ref="B928"/>
    <hyperlink r:id="rId1856" ref="A929"/>
    <hyperlink r:id="rId1857" ref="B929"/>
    <hyperlink r:id="rId1858" ref="A930"/>
    <hyperlink r:id="rId1859" ref="B930"/>
    <hyperlink r:id="rId1860" ref="A931"/>
    <hyperlink r:id="rId1861" ref="B931"/>
    <hyperlink r:id="rId1862" ref="A932"/>
    <hyperlink r:id="rId1863" ref="B932"/>
    <hyperlink r:id="rId1864" ref="A933"/>
    <hyperlink r:id="rId1865" ref="B933"/>
    <hyperlink r:id="rId1866" ref="A934"/>
    <hyperlink r:id="rId1867" ref="B934"/>
    <hyperlink r:id="rId1868" ref="A935"/>
    <hyperlink r:id="rId1869" ref="B935"/>
    <hyperlink r:id="rId1870" ref="A936"/>
    <hyperlink r:id="rId1871" ref="B936"/>
    <hyperlink r:id="rId1872" ref="A937"/>
    <hyperlink r:id="rId1873" ref="B937"/>
    <hyperlink r:id="rId1874" ref="A938"/>
    <hyperlink r:id="rId1875" ref="B938"/>
    <hyperlink r:id="rId1876" ref="A939"/>
    <hyperlink r:id="rId1877" ref="B939"/>
    <hyperlink r:id="rId1878" ref="A940"/>
    <hyperlink r:id="rId1879" ref="B940"/>
    <hyperlink r:id="rId1880" ref="A941"/>
    <hyperlink r:id="rId1881" ref="B941"/>
    <hyperlink r:id="rId1882" ref="A942"/>
    <hyperlink r:id="rId1883" ref="B942"/>
    <hyperlink r:id="rId1884" ref="A943"/>
    <hyperlink r:id="rId1885" ref="B943"/>
    <hyperlink r:id="rId1886" ref="A944"/>
    <hyperlink r:id="rId1887" ref="B944"/>
    <hyperlink r:id="rId1888" ref="A945"/>
    <hyperlink r:id="rId1889" ref="B945"/>
    <hyperlink r:id="rId1890" ref="A946"/>
    <hyperlink r:id="rId1891" ref="B946"/>
    <hyperlink r:id="rId1892" ref="A947"/>
    <hyperlink r:id="rId1893" ref="B947"/>
    <hyperlink r:id="rId1894" ref="A948"/>
    <hyperlink r:id="rId1895" ref="B948"/>
    <hyperlink r:id="rId1896" ref="A949"/>
    <hyperlink r:id="rId1897" ref="B949"/>
    <hyperlink r:id="rId1898" ref="A950"/>
    <hyperlink r:id="rId1899" ref="B950"/>
    <hyperlink r:id="rId1900" ref="A951"/>
    <hyperlink r:id="rId1901" ref="B951"/>
    <hyperlink r:id="rId1902" ref="A952"/>
    <hyperlink r:id="rId1903" ref="B952"/>
    <hyperlink r:id="rId1904" ref="A953"/>
    <hyperlink r:id="rId1905" ref="B953"/>
    <hyperlink r:id="rId1906" ref="A954"/>
    <hyperlink r:id="rId1907" ref="B954"/>
    <hyperlink r:id="rId1908" ref="A955"/>
    <hyperlink r:id="rId1909" ref="B955"/>
    <hyperlink r:id="rId1910" ref="A956"/>
    <hyperlink r:id="rId1911" ref="B956"/>
    <hyperlink r:id="rId1912" ref="A957"/>
    <hyperlink r:id="rId1913" ref="B957"/>
    <hyperlink r:id="rId1914" ref="A958"/>
    <hyperlink r:id="rId1915" ref="B958"/>
    <hyperlink r:id="rId1916" ref="A959"/>
    <hyperlink r:id="rId1917" ref="B959"/>
    <hyperlink r:id="rId1918" ref="A960"/>
    <hyperlink r:id="rId1919" ref="B960"/>
    <hyperlink r:id="rId1920" ref="A961"/>
    <hyperlink r:id="rId1921" ref="B961"/>
    <hyperlink r:id="rId1922" ref="A962"/>
    <hyperlink r:id="rId1923" ref="B962"/>
    <hyperlink r:id="rId1924" ref="A963"/>
    <hyperlink r:id="rId1925" ref="B963"/>
    <hyperlink r:id="rId1926" ref="A964"/>
    <hyperlink r:id="rId1927" ref="B964"/>
    <hyperlink r:id="rId1928" ref="A965"/>
    <hyperlink r:id="rId1929" ref="B965"/>
    <hyperlink r:id="rId1930" ref="A966"/>
    <hyperlink r:id="rId1931" ref="B966"/>
    <hyperlink r:id="rId1932" ref="A967"/>
    <hyperlink r:id="rId1933" ref="B967"/>
    <hyperlink r:id="rId1934" ref="A968"/>
    <hyperlink r:id="rId1935" ref="B968"/>
    <hyperlink r:id="rId1936" ref="A969"/>
    <hyperlink r:id="rId1937" ref="B969"/>
    <hyperlink r:id="rId1938" ref="A970"/>
    <hyperlink r:id="rId1939" ref="B970"/>
    <hyperlink r:id="rId1940" ref="A971"/>
    <hyperlink r:id="rId1941" ref="B971"/>
    <hyperlink r:id="rId1942" ref="A972"/>
    <hyperlink r:id="rId1943" ref="B972"/>
    <hyperlink r:id="rId1944" ref="A973"/>
    <hyperlink r:id="rId1945" ref="B973"/>
    <hyperlink r:id="rId1946" ref="A974"/>
    <hyperlink r:id="rId1947" ref="B974"/>
    <hyperlink r:id="rId1948" ref="A975"/>
    <hyperlink r:id="rId1949" ref="B975"/>
    <hyperlink r:id="rId1950" ref="A976"/>
    <hyperlink r:id="rId1951" ref="B976"/>
    <hyperlink r:id="rId1952" ref="A977"/>
    <hyperlink r:id="rId1953" ref="B977"/>
    <hyperlink r:id="rId1954" ref="A978"/>
    <hyperlink r:id="rId1955" ref="B978"/>
    <hyperlink r:id="rId1956" ref="A979"/>
    <hyperlink r:id="rId1957" ref="B979"/>
    <hyperlink r:id="rId1958" ref="A980"/>
    <hyperlink r:id="rId1959" ref="B980"/>
    <hyperlink r:id="rId1960" ref="A981"/>
    <hyperlink r:id="rId1961" ref="B981"/>
    <hyperlink r:id="rId1962" ref="A982"/>
    <hyperlink r:id="rId1963" ref="B982"/>
    <hyperlink r:id="rId1964" ref="A983"/>
    <hyperlink r:id="rId1965" ref="B983"/>
    <hyperlink r:id="rId1966" ref="A984"/>
    <hyperlink r:id="rId1967" ref="B984"/>
    <hyperlink r:id="rId1968" ref="A985"/>
    <hyperlink r:id="rId1969" ref="B985"/>
    <hyperlink r:id="rId1970" ref="A986"/>
    <hyperlink r:id="rId1971" ref="B986"/>
    <hyperlink r:id="rId1972" ref="A987"/>
    <hyperlink r:id="rId1973" ref="B987"/>
    <hyperlink r:id="rId1974" ref="A988"/>
    <hyperlink r:id="rId1975" ref="B988"/>
    <hyperlink r:id="rId1976" ref="A989"/>
    <hyperlink r:id="rId1977" ref="B989"/>
    <hyperlink r:id="rId1978" ref="A990"/>
    <hyperlink r:id="rId1979" ref="B990"/>
    <hyperlink r:id="rId1980" ref="A991"/>
    <hyperlink r:id="rId1981" ref="B991"/>
    <hyperlink r:id="rId1982" ref="A992"/>
    <hyperlink r:id="rId1983" ref="B992"/>
    <hyperlink r:id="rId1984" ref="A993"/>
    <hyperlink r:id="rId1985" ref="B993"/>
    <hyperlink r:id="rId1986" ref="A994"/>
    <hyperlink r:id="rId1987" ref="B994"/>
    <hyperlink r:id="rId1988" ref="A995"/>
    <hyperlink r:id="rId1989" ref="B995"/>
    <hyperlink r:id="rId1990" ref="A996"/>
    <hyperlink r:id="rId1991" ref="B996"/>
    <hyperlink r:id="rId1992" ref="A997"/>
    <hyperlink r:id="rId1993" ref="B997"/>
    <hyperlink r:id="rId1994" ref="A998"/>
    <hyperlink r:id="rId1995" ref="B998"/>
    <hyperlink r:id="rId1996" ref="A999"/>
    <hyperlink r:id="rId1997" ref="B999"/>
    <hyperlink r:id="rId1998" ref="A1000"/>
    <hyperlink r:id="rId1999" ref="B1000"/>
    <hyperlink r:id="rId2000" ref="A1001"/>
    <hyperlink r:id="rId2001" ref="B1001"/>
    <hyperlink r:id="rId2002" ref="A1002"/>
    <hyperlink r:id="rId2003" ref="B1002"/>
    <hyperlink r:id="rId2004" ref="A1003"/>
    <hyperlink r:id="rId2005" ref="B1003"/>
    <hyperlink r:id="rId2006" ref="A1004"/>
    <hyperlink r:id="rId2007" ref="B1004"/>
    <hyperlink r:id="rId2008" ref="A1005"/>
    <hyperlink r:id="rId2009" ref="B1005"/>
    <hyperlink r:id="rId2010" ref="A1006"/>
    <hyperlink r:id="rId2011" ref="B1006"/>
    <hyperlink r:id="rId2012" ref="A1007"/>
    <hyperlink r:id="rId2013" ref="B1007"/>
    <hyperlink r:id="rId2014" ref="A1008"/>
    <hyperlink r:id="rId2015" ref="B1008"/>
    <hyperlink r:id="rId2016" ref="A1009"/>
    <hyperlink r:id="rId2017" ref="B1009"/>
    <hyperlink r:id="rId2018" ref="A1010"/>
    <hyperlink r:id="rId2019" ref="B1010"/>
    <hyperlink r:id="rId2020" ref="A1011"/>
    <hyperlink r:id="rId2021" ref="B1011"/>
    <hyperlink r:id="rId2022" ref="A1012"/>
    <hyperlink r:id="rId2023" ref="B1012"/>
    <hyperlink r:id="rId2024" ref="A1013"/>
    <hyperlink r:id="rId2025" ref="B1013"/>
    <hyperlink r:id="rId2026" ref="A1014"/>
    <hyperlink r:id="rId2027" ref="B1014"/>
    <hyperlink r:id="rId2028" ref="A1015"/>
    <hyperlink r:id="rId2029" ref="B1015"/>
    <hyperlink r:id="rId2030" ref="A1016"/>
    <hyperlink r:id="rId2031" ref="B1016"/>
    <hyperlink r:id="rId2032" ref="A1017"/>
    <hyperlink r:id="rId2033" ref="B1017"/>
    <hyperlink r:id="rId2034" ref="A1018"/>
    <hyperlink r:id="rId2035" ref="B1018"/>
    <hyperlink r:id="rId2036" ref="A1019"/>
    <hyperlink r:id="rId2037" ref="B1019"/>
    <hyperlink r:id="rId2038" ref="A1020"/>
    <hyperlink r:id="rId2039" ref="B1020"/>
    <hyperlink r:id="rId2040" ref="A1021"/>
    <hyperlink r:id="rId2041" ref="B1021"/>
    <hyperlink r:id="rId2042" ref="A1022"/>
    <hyperlink r:id="rId2043" ref="B1022"/>
    <hyperlink r:id="rId2044" ref="A1023"/>
    <hyperlink r:id="rId2045" ref="B1023"/>
    <hyperlink r:id="rId2046" ref="A1024"/>
    <hyperlink r:id="rId2047" ref="B1024"/>
    <hyperlink r:id="rId2048" ref="A1025"/>
    <hyperlink r:id="rId2049" ref="B1025"/>
    <hyperlink r:id="rId2050" ref="A1026"/>
    <hyperlink r:id="rId2051" ref="B1026"/>
    <hyperlink r:id="rId2052" ref="A1027"/>
    <hyperlink r:id="rId2053" ref="B1027"/>
    <hyperlink r:id="rId2054" ref="A1028"/>
    <hyperlink r:id="rId2055" ref="B1028"/>
    <hyperlink r:id="rId2056" ref="A1029"/>
    <hyperlink r:id="rId2057" ref="B1029"/>
    <hyperlink r:id="rId2058" ref="A1030"/>
    <hyperlink r:id="rId2059" ref="B1030"/>
    <hyperlink r:id="rId2060" ref="A1031"/>
    <hyperlink r:id="rId2061" ref="B1031"/>
    <hyperlink r:id="rId2062" ref="A1032"/>
    <hyperlink r:id="rId2063" ref="B1032"/>
    <hyperlink r:id="rId2064" ref="A1033"/>
    <hyperlink r:id="rId2065" ref="B1033"/>
    <hyperlink r:id="rId2066" ref="A1034"/>
    <hyperlink r:id="rId2067" ref="B1034"/>
    <hyperlink r:id="rId2068" ref="A1035"/>
    <hyperlink r:id="rId2069" ref="B1035"/>
    <hyperlink r:id="rId2070" ref="A1036"/>
    <hyperlink r:id="rId2071" ref="B1036"/>
    <hyperlink r:id="rId2072" ref="A1037"/>
    <hyperlink r:id="rId2073" ref="B1037"/>
    <hyperlink r:id="rId2074" ref="A1038"/>
    <hyperlink r:id="rId2075" ref="B1038"/>
    <hyperlink r:id="rId2076" ref="A1039"/>
    <hyperlink r:id="rId2077" ref="B1039"/>
    <hyperlink r:id="rId2078" ref="A1040"/>
    <hyperlink r:id="rId2079" ref="B1040"/>
    <hyperlink r:id="rId2080" ref="A1041"/>
    <hyperlink r:id="rId2081" ref="B1041"/>
    <hyperlink r:id="rId2082" ref="A1042"/>
    <hyperlink r:id="rId2083" ref="B1042"/>
    <hyperlink r:id="rId2084" ref="A1043"/>
    <hyperlink r:id="rId2085" ref="B1043"/>
    <hyperlink r:id="rId2086" ref="A1044"/>
    <hyperlink r:id="rId2087" ref="B1044"/>
    <hyperlink r:id="rId2088" ref="A1045"/>
    <hyperlink r:id="rId2089" ref="B1045"/>
    <hyperlink r:id="rId2090" ref="A1046"/>
    <hyperlink r:id="rId2091" ref="B1046"/>
    <hyperlink r:id="rId2092" ref="A1047"/>
    <hyperlink r:id="rId2093" ref="B1047"/>
    <hyperlink r:id="rId2094" ref="A1048"/>
    <hyperlink r:id="rId2095" ref="B1048"/>
    <hyperlink r:id="rId2096" ref="A1049"/>
    <hyperlink r:id="rId2097" ref="B1049"/>
    <hyperlink r:id="rId2098" ref="A1050"/>
    <hyperlink r:id="rId2099" ref="B1050"/>
    <hyperlink r:id="rId2100" ref="A1051"/>
    <hyperlink r:id="rId2101" ref="B1051"/>
    <hyperlink r:id="rId2102" ref="A1052"/>
    <hyperlink r:id="rId2103" ref="B1052"/>
    <hyperlink r:id="rId2104" ref="A1053"/>
    <hyperlink r:id="rId2105" ref="B1053"/>
    <hyperlink r:id="rId2106" ref="A1054"/>
    <hyperlink r:id="rId2107" ref="B1054"/>
    <hyperlink r:id="rId2108" ref="A1055"/>
    <hyperlink r:id="rId2109" ref="B1055"/>
    <hyperlink r:id="rId2110" ref="A1056"/>
    <hyperlink r:id="rId2111" ref="B1056"/>
    <hyperlink r:id="rId2112" ref="A1057"/>
    <hyperlink r:id="rId2113" ref="B1057"/>
    <hyperlink r:id="rId2114" ref="A1058"/>
    <hyperlink r:id="rId2115" ref="B1058"/>
    <hyperlink r:id="rId2116" ref="A1059"/>
    <hyperlink r:id="rId2117" ref="B1059"/>
    <hyperlink r:id="rId2118" ref="A1060"/>
    <hyperlink r:id="rId2119" ref="B1060"/>
    <hyperlink r:id="rId2120" ref="A1061"/>
    <hyperlink r:id="rId2121" ref="B1061"/>
    <hyperlink r:id="rId2122" ref="A1062"/>
    <hyperlink r:id="rId2123" ref="B1062"/>
    <hyperlink r:id="rId2124" ref="A1063"/>
    <hyperlink r:id="rId2125" ref="B1063"/>
    <hyperlink r:id="rId2126" ref="A1064"/>
    <hyperlink r:id="rId2127" ref="B1064"/>
    <hyperlink r:id="rId2128" ref="A1065"/>
    <hyperlink r:id="rId2129" ref="B1065"/>
    <hyperlink r:id="rId2130" ref="A1066"/>
    <hyperlink r:id="rId2131" ref="B1066"/>
    <hyperlink r:id="rId2132" ref="A1067"/>
    <hyperlink r:id="rId2133" ref="B1067"/>
    <hyperlink r:id="rId2134" ref="A1068"/>
    <hyperlink r:id="rId2135" ref="B1068"/>
    <hyperlink r:id="rId2136" ref="A1069"/>
    <hyperlink r:id="rId2137" ref="B1069"/>
    <hyperlink r:id="rId2138" ref="A1070"/>
    <hyperlink r:id="rId2139" ref="B1070"/>
    <hyperlink r:id="rId2140" ref="A1071"/>
    <hyperlink r:id="rId2141" ref="B1071"/>
    <hyperlink r:id="rId2142" ref="A1072"/>
    <hyperlink r:id="rId2143" ref="B1072"/>
    <hyperlink r:id="rId2144" ref="A1073"/>
    <hyperlink r:id="rId2145" ref="B1073"/>
    <hyperlink r:id="rId2146" ref="A1074"/>
    <hyperlink r:id="rId2147" ref="B1074"/>
    <hyperlink r:id="rId2148" ref="A1075"/>
    <hyperlink r:id="rId2149" ref="B1075"/>
    <hyperlink r:id="rId2150" ref="A1076"/>
    <hyperlink r:id="rId2151" ref="B1076"/>
    <hyperlink r:id="rId2152" ref="A1077"/>
    <hyperlink r:id="rId2153" ref="B1077"/>
    <hyperlink r:id="rId2154" ref="A1078"/>
    <hyperlink r:id="rId2155" ref="B1078"/>
    <hyperlink r:id="rId2156" ref="A1079"/>
    <hyperlink r:id="rId2157" ref="B1079"/>
    <hyperlink r:id="rId2158" ref="A1080"/>
    <hyperlink r:id="rId2159" ref="B1080"/>
    <hyperlink r:id="rId2160" ref="A1081"/>
    <hyperlink r:id="rId2161" ref="B1081"/>
    <hyperlink r:id="rId2162" ref="A1082"/>
    <hyperlink r:id="rId2163" ref="B1082"/>
    <hyperlink r:id="rId2164" ref="A1083"/>
    <hyperlink r:id="rId2165" ref="B1083"/>
    <hyperlink r:id="rId2166" ref="A1084"/>
    <hyperlink r:id="rId2167" ref="B1084"/>
    <hyperlink r:id="rId2168" ref="A1085"/>
    <hyperlink r:id="rId2169" ref="B1085"/>
    <hyperlink r:id="rId2170" ref="A1086"/>
    <hyperlink r:id="rId2171" ref="B1086"/>
    <hyperlink r:id="rId2172" ref="A1087"/>
    <hyperlink r:id="rId2173" ref="B1087"/>
    <hyperlink r:id="rId2174" ref="A1088"/>
    <hyperlink r:id="rId2175" ref="B1088"/>
    <hyperlink r:id="rId2176" ref="A1089"/>
    <hyperlink r:id="rId2177" ref="B1089"/>
    <hyperlink r:id="rId2178" ref="A1090"/>
    <hyperlink r:id="rId2179" ref="B1090"/>
    <hyperlink r:id="rId2180" ref="A1091"/>
    <hyperlink r:id="rId2181" ref="B1091"/>
    <hyperlink r:id="rId2182" ref="A1092"/>
    <hyperlink r:id="rId2183" ref="B1092"/>
    <hyperlink r:id="rId2184" ref="A1093"/>
    <hyperlink r:id="rId2185" ref="B1093"/>
    <hyperlink r:id="rId2186" ref="A1094"/>
    <hyperlink r:id="rId2187" ref="B1094"/>
    <hyperlink r:id="rId2188" ref="A1095"/>
    <hyperlink r:id="rId2189" ref="B1095"/>
    <hyperlink r:id="rId2190" ref="A1096"/>
    <hyperlink r:id="rId2191" ref="B1096"/>
    <hyperlink r:id="rId2192" ref="A1097"/>
    <hyperlink r:id="rId2193" ref="B1097"/>
    <hyperlink r:id="rId2194" ref="A1098"/>
    <hyperlink r:id="rId2195" ref="B1098"/>
    <hyperlink r:id="rId2196" ref="A1099"/>
    <hyperlink r:id="rId2197" ref="B1099"/>
    <hyperlink r:id="rId2198" ref="A1100"/>
    <hyperlink r:id="rId2199" ref="B1100"/>
    <hyperlink r:id="rId2200" ref="A1101"/>
    <hyperlink r:id="rId2201" ref="B1101"/>
    <hyperlink r:id="rId2202" ref="A1102"/>
    <hyperlink r:id="rId2203" ref="B1102"/>
    <hyperlink r:id="rId2204" ref="A1103"/>
    <hyperlink r:id="rId2205" ref="B1103"/>
    <hyperlink r:id="rId2206" ref="A1104"/>
    <hyperlink r:id="rId2207" ref="B1104"/>
    <hyperlink r:id="rId2208" ref="A1105"/>
    <hyperlink r:id="rId2209" ref="B1105"/>
    <hyperlink r:id="rId2210" ref="A1106"/>
    <hyperlink r:id="rId2211" ref="B1106"/>
    <hyperlink r:id="rId2212" ref="A1107"/>
    <hyperlink r:id="rId2213" ref="B1107"/>
    <hyperlink r:id="rId2214" ref="A1108"/>
    <hyperlink r:id="rId2215" ref="B1108"/>
    <hyperlink r:id="rId2216" ref="A1109"/>
    <hyperlink r:id="rId2217" ref="B1109"/>
    <hyperlink r:id="rId2218" ref="A1110"/>
    <hyperlink r:id="rId2219" ref="B1110"/>
    <hyperlink r:id="rId2220" ref="A1111"/>
    <hyperlink r:id="rId2221" ref="B1111"/>
    <hyperlink r:id="rId2222" ref="A1112"/>
    <hyperlink r:id="rId2223" ref="B1112"/>
    <hyperlink r:id="rId2224" ref="A1113"/>
    <hyperlink r:id="rId2225" ref="B1113"/>
    <hyperlink r:id="rId2226" ref="A1114"/>
    <hyperlink r:id="rId2227" ref="B1114"/>
    <hyperlink r:id="rId2228" ref="A1115"/>
    <hyperlink r:id="rId2229" ref="B1115"/>
    <hyperlink r:id="rId2230" ref="A1116"/>
    <hyperlink r:id="rId2231" ref="B1116"/>
    <hyperlink r:id="rId2232" ref="A1117"/>
    <hyperlink r:id="rId2233" ref="B1117"/>
    <hyperlink r:id="rId2234" ref="A1118"/>
    <hyperlink r:id="rId2235" ref="B1118"/>
    <hyperlink r:id="rId2236" ref="A1119"/>
    <hyperlink r:id="rId2237" ref="B1119"/>
    <hyperlink r:id="rId2238" ref="A1120"/>
    <hyperlink r:id="rId2239" ref="B1120"/>
    <hyperlink r:id="rId2240" ref="A1121"/>
    <hyperlink r:id="rId2241" ref="B1121"/>
    <hyperlink r:id="rId2242" ref="A1122"/>
    <hyperlink r:id="rId2243" ref="B1122"/>
    <hyperlink r:id="rId2244" ref="A1123"/>
    <hyperlink r:id="rId2245" ref="B1123"/>
    <hyperlink r:id="rId2246" ref="A1124"/>
    <hyperlink r:id="rId2247" ref="B1124"/>
    <hyperlink r:id="rId2248" ref="A1125"/>
    <hyperlink r:id="rId2249" ref="B1125"/>
    <hyperlink r:id="rId2250" ref="A1126"/>
    <hyperlink r:id="rId2251" ref="B1126"/>
    <hyperlink r:id="rId2252" ref="A1127"/>
    <hyperlink r:id="rId2253" ref="B1127"/>
    <hyperlink r:id="rId2254" ref="A1128"/>
    <hyperlink r:id="rId2255" ref="B1128"/>
    <hyperlink r:id="rId2256" ref="A1129"/>
    <hyperlink r:id="rId2257" ref="B1129"/>
    <hyperlink r:id="rId2258" ref="A1130"/>
    <hyperlink r:id="rId2259" ref="B1130"/>
    <hyperlink r:id="rId2260" ref="A1131"/>
    <hyperlink r:id="rId2261" ref="B1131"/>
    <hyperlink r:id="rId2262" ref="A1132"/>
    <hyperlink r:id="rId2263" ref="B1132"/>
    <hyperlink r:id="rId2264" ref="A1133"/>
    <hyperlink r:id="rId2265" ref="B1133"/>
    <hyperlink r:id="rId2266" ref="A1134"/>
    <hyperlink r:id="rId2267" ref="B1134"/>
    <hyperlink r:id="rId2268" ref="A1135"/>
    <hyperlink r:id="rId2269" ref="B1135"/>
    <hyperlink r:id="rId2270" ref="A1136"/>
    <hyperlink r:id="rId2271" ref="B1136"/>
    <hyperlink r:id="rId2272" ref="A1137"/>
    <hyperlink r:id="rId2273" ref="B1137"/>
    <hyperlink r:id="rId2274" ref="A1138"/>
    <hyperlink r:id="rId2275" ref="B1138"/>
    <hyperlink r:id="rId2276" ref="A1139"/>
    <hyperlink r:id="rId2277" ref="B1139"/>
    <hyperlink r:id="rId2278" ref="A1140"/>
    <hyperlink r:id="rId2279" ref="B1140"/>
    <hyperlink r:id="rId2280" ref="A1141"/>
    <hyperlink r:id="rId2281" ref="B1141"/>
    <hyperlink r:id="rId2282" ref="A1142"/>
    <hyperlink r:id="rId2283" ref="B1142"/>
    <hyperlink r:id="rId2284" ref="A1143"/>
    <hyperlink r:id="rId2285" ref="B1143"/>
    <hyperlink r:id="rId2286" ref="A1144"/>
    <hyperlink r:id="rId2287" ref="B1144"/>
    <hyperlink r:id="rId2288" ref="A1145"/>
    <hyperlink r:id="rId2289" ref="B1145"/>
    <hyperlink r:id="rId2290" ref="A1146"/>
    <hyperlink r:id="rId2291" ref="B1146"/>
    <hyperlink r:id="rId2292" ref="A1147"/>
    <hyperlink r:id="rId2293" ref="B1147"/>
    <hyperlink r:id="rId2294" ref="A1148"/>
    <hyperlink r:id="rId2295" ref="B1148"/>
    <hyperlink r:id="rId2296" ref="A1149"/>
    <hyperlink r:id="rId2297" ref="B1149"/>
    <hyperlink r:id="rId2298" ref="A1150"/>
    <hyperlink r:id="rId2299" ref="B1150"/>
    <hyperlink r:id="rId2300" ref="A1151"/>
    <hyperlink r:id="rId2301" ref="B1151"/>
    <hyperlink r:id="rId2302" ref="A1152"/>
    <hyperlink r:id="rId2303" ref="B1152"/>
    <hyperlink r:id="rId2304" ref="A1153"/>
    <hyperlink r:id="rId2305" ref="B1153"/>
    <hyperlink r:id="rId2306" ref="A1154"/>
    <hyperlink r:id="rId2307" ref="B1154"/>
    <hyperlink r:id="rId2308" ref="A1155"/>
    <hyperlink r:id="rId2309" ref="B1155"/>
    <hyperlink r:id="rId2310" ref="A1156"/>
    <hyperlink r:id="rId2311" ref="B1156"/>
    <hyperlink r:id="rId2312" ref="A1157"/>
    <hyperlink r:id="rId2313" ref="B1157"/>
    <hyperlink r:id="rId2314" ref="A1158"/>
    <hyperlink r:id="rId2315" ref="B1158"/>
    <hyperlink r:id="rId2316" ref="A1159"/>
    <hyperlink r:id="rId2317" ref="B1159"/>
    <hyperlink r:id="rId2318" ref="A1160"/>
    <hyperlink r:id="rId2319" ref="B1160"/>
    <hyperlink r:id="rId2320" ref="A1161"/>
    <hyperlink r:id="rId2321" ref="B1161"/>
    <hyperlink r:id="rId2322" ref="A1162"/>
    <hyperlink r:id="rId2323" ref="B1162"/>
    <hyperlink r:id="rId2324" ref="A1163"/>
    <hyperlink r:id="rId2325" ref="B1163"/>
    <hyperlink r:id="rId2326" ref="A1164"/>
    <hyperlink r:id="rId2327" ref="B1164"/>
    <hyperlink r:id="rId2328" ref="A1165"/>
    <hyperlink r:id="rId2329" ref="B1165"/>
    <hyperlink r:id="rId2330" ref="A1166"/>
    <hyperlink r:id="rId2331" ref="B1166"/>
    <hyperlink r:id="rId2332" ref="A1167"/>
    <hyperlink r:id="rId2333" ref="B1167"/>
    <hyperlink r:id="rId2334" ref="A1168"/>
    <hyperlink r:id="rId2335" ref="B1168"/>
    <hyperlink r:id="rId2336" ref="A1169"/>
    <hyperlink r:id="rId2337" ref="B1169"/>
    <hyperlink r:id="rId2338" ref="A1170"/>
    <hyperlink r:id="rId2339" ref="B1170"/>
    <hyperlink r:id="rId2340" ref="A1171"/>
    <hyperlink r:id="rId2341" ref="B1171"/>
    <hyperlink r:id="rId2342" ref="A1172"/>
    <hyperlink r:id="rId2343" ref="B1172"/>
    <hyperlink r:id="rId2344" ref="A1173"/>
    <hyperlink r:id="rId2345" ref="B1173"/>
    <hyperlink r:id="rId2346" ref="A1174"/>
    <hyperlink r:id="rId2347" ref="B1174"/>
    <hyperlink r:id="rId2348" ref="A1175"/>
    <hyperlink r:id="rId2349" ref="B1175"/>
    <hyperlink r:id="rId2350" ref="A1176"/>
    <hyperlink r:id="rId2351" ref="B1176"/>
    <hyperlink r:id="rId2352" ref="A1177"/>
    <hyperlink r:id="rId2353" ref="B1177"/>
    <hyperlink r:id="rId2354" ref="A1178"/>
    <hyperlink r:id="rId2355" ref="B1178"/>
    <hyperlink r:id="rId2356" ref="A1179"/>
    <hyperlink r:id="rId2357" ref="B1179"/>
    <hyperlink r:id="rId2358" ref="A1180"/>
    <hyperlink r:id="rId2359" ref="B1180"/>
    <hyperlink r:id="rId2360" ref="A1181"/>
    <hyperlink r:id="rId2361" ref="B1181"/>
    <hyperlink r:id="rId2362" ref="A1182"/>
    <hyperlink r:id="rId2363" ref="B1182"/>
    <hyperlink r:id="rId2364" ref="A1183"/>
    <hyperlink r:id="rId2365" ref="B1183"/>
    <hyperlink r:id="rId2366" ref="A1184"/>
    <hyperlink r:id="rId2367" ref="B1184"/>
    <hyperlink r:id="rId2368" ref="A1185"/>
    <hyperlink r:id="rId2369" ref="B1185"/>
    <hyperlink r:id="rId2370" ref="A1186"/>
    <hyperlink r:id="rId2371" ref="B1186"/>
    <hyperlink r:id="rId2372" ref="A1187"/>
    <hyperlink r:id="rId2373" ref="B1187"/>
    <hyperlink r:id="rId2374" ref="A1188"/>
    <hyperlink r:id="rId2375" ref="B1188"/>
    <hyperlink r:id="rId2376" ref="A1189"/>
    <hyperlink r:id="rId2377" ref="B1189"/>
    <hyperlink r:id="rId2378" ref="A1190"/>
    <hyperlink r:id="rId2379" ref="B1190"/>
    <hyperlink r:id="rId2380" ref="A1191"/>
    <hyperlink r:id="rId2381" ref="B1191"/>
    <hyperlink r:id="rId2382" ref="A1192"/>
    <hyperlink r:id="rId2383" ref="B1192"/>
    <hyperlink r:id="rId2384" ref="A1193"/>
    <hyperlink r:id="rId2385" ref="B1193"/>
    <hyperlink r:id="rId2386" ref="A1194"/>
    <hyperlink r:id="rId2387" ref="B1194"/>
    <hyperlink r:id="rId2388" ref="A1195"/>
    <hyperlink r:id="rId2389" ref="B1195"/>
    <hyperlink r:id="rId2390" ref="A1196"/>
    <hyperlink r:id="rId2391" ref="B1196"/>
    <hyperlink r:id="rId2392" ref="A1197"/>
    <hyperlink r:id="rId2393" ref="B1197"/>
    <hyperlink r:id="rId2394" ref="A1198"/>
    <hyperlink r:id="rId2395" ref="B1198"/>
    <hyperlink r:id="rId2396" ref="A1199"/>
    <hyperlink r:id="rId2397" ref="B1199"/>
    <hyperlink r:id="rId2398" ref="A1200"/>
    <hyperlink r:id="rId2399" ref="B1200"/>
    <hyperlink r:id="rId2400" ref="A1201"/>
    <hyperlink r:id="rId2401" ref="B1201"/>
    <hyperlink r:id="rId2402" ref="A1202"/>
    <hyperlink r:id="rId2403" ref="B1202"/>
    <hyperlink r:id="rId2404" ref="A1203"/>
    <hyperlink r:id="rId2405" ref="B1203"/>
    <hyperlink r:id="rId2406" ref="A1204"/>
    <hyperlink r:id="rId2407" ref="B1204"/>
    <hyperlink r:id="rId2408" ref="A1205"/>
    <hyperlink r:id="rId2409" ref="B1205"/>
    <hyperlink r:id="rId2410" ref="A1206"/>
    <hyperlink r:id="rId2411" ref="B1206"/>
    <hyperlink r:id="rId2412" ref="A1207"/>
    <hyperlink r:id="rId2413" ref="B1207"/>
    <hyperlink r:id="rId2414" ref="A1208"/>
    <hyperlink r:id="rId2415" ref="B1208"/>
    <hyperlink r:id="rId2416" ref="A1209"/>
    <hyperlink r:id="rId2417" ref="B1209"/>
    <hyperlink r:id="rId2418" ref="A1210"/>
    <hyperlink r:id="rId2419" ref="B1210"/>
    <hyperlink r:id="rId2420" ref="A1211"/>
    <hyperlink r:id="rId2421" ref="B1211"/>
    <hyperlink r:id="rId2422" ref="A1212"/>
    <hyperlink r:id="rId2423" ref="B1212"/>
    <hyperlink r:id="rId2424" ref="A1213"/>
    <hyperlink r:id="rId2425" ref="B1213"/>
    <hyperlink r:id="rId2426" ref="A1214"/>
    <hyperlink r:id="rId2427" ref="B1214"/>
    <hyperlink r:id="rId2428" ref="A1215"/>
    <hyperlink r:id="rId2429" ref="B1215"/>
    <hyperlink r:id="rId2430" ref="A1216"/>
    <hyperlink r:id="rId2431" ref="B1216"/>
    <hyperlink r:id="rId2432" ref="A1217"/>
    <hyperlink r:id="rId2433" ref="B1217"/>
    <hyperlink r:id="rId2434" ref="A1218"/>
    <hyperlink r:id="rId2435" ref="B1218"/>
    <hyperlink r:id="rId2436" ref="A1219"/>
    <hyperlink r:id="rId2437" ref="B1219"/>
    <hyperlink r:id="rId2438" ref="A1220"/>
    <hyperlink r:id="rId2439" ref="B1220"/>
    <hyperlink r:id="rId2440" ref="A1221"/>
    <hyperlink r:id="rId2441" ref="B1221"/>
    <hyperlink r:id="rId2442" ref="A1222"/>
    <hyperlink r:id="rId2443" ref="B1222"/>
    <hyperlink r:id="rId2444" ref="A1223"/>
    <hyperlink r:id="rId2445" ref="B1223"/>
    <hyperlink r:id="rId2446" ref="A1224"/>
    <hyperlink r:id="rId2447" ref="B1224"/>
    <hyperlink r:id="rId2448" ref="A1225"/>
    <hyperlink r:id="rId2449" ref="B1225"/>
    <hyperlink r:id="rId2450" ref="A1226"/>
    <hyperlink r:id="rId2451" ref="B1226"/>
    <hyperlink r:id="rId2452" ref="A1227"/>
    <hyperlink r:id="rId2453" ref="B1227"/>
    <hyperlink r:id="rId2454" ref="A1228"/>
    <hyperlink r:id="rId2455" ref="B1228"/>
    <hyperlink r:id="rId2456" ref="A1229"/>
    <hyperlink r:id="rId2457" ref="B1229"/>
    <hyperlink r:id="rId2458" ref="A1230"/>
    <hyperlink r:id="rId2459" ref="B1230"/>
    <hyperlink r:id="rId2460" ref="A1231"/>
    <hyperlink r:id="rId2461" ref="B1231"/>
    <hyperlink r:id="rId2462" ref="A1232"/>
    <hyperlink r:id="rId2463" ref="B1232"/>
    <hyperlink r:id="rId2464" ref="A1233"/>
    <hyperlink r:id="rId2465" ref="B1233"/>
    <hyperlink r:id="rId2466" ref="A1234"/>
    <hyperlink r:id="rId2467" ref="B1234"/>
    <hyperlink r:id="rId2468" ref="A1235"/>
    <hyperlink r:id="rId2469" ref="B1235"/>
    <hyperlink r:id="rId2470" ref="A1236"/>
    <hyperlink r:id="rId2471" ref="B1236"/>
    <hyperlink r:id="rId2472" ref="A1237"/>
    <hyperlink r:id="rId2473" ref="B1237"/>
    <hyperlink r:id="rId2474" ref="A1238"/>
    <hyperlink r:id="rId2475" ref="B1238"/>
    <hyperlink r:id="rId2476" ref="A1239"/>
    <hyperlink r:id="rId2477" ref="B1239"/>
    <hyperlink r:id="rId2478" ref="A1240"/>
    <hyperlink r:id="rId2479" ref="B1240"/>
    <hyperlink r:id="rId2480" ref="A1241"/>
    <hyperlink r:id="rId2481" ref="B1241"/>
    <hyperlink r:id="rId2482" ref="A1242"/>
    <hyperlink r:id="rId2483" ref="B1242"/>
    <hyperlink r:id="rId2484" ref="A1243"/>
    <hyperlink r:id="rId2485" ref="B1243"/>
    <hyperlink r:id="rId2486" ref="A1244"/>
    <hyperlink r:id="rId2487" ref="B1244"/>
    <hyperlink r:id="rId2488" ref="A1245"/>
    <hyperlink r:id="rId2489" ref="B1245"/>
    <hyperlink r:id="rId2490" ref="A1246"/>
    <hyperlink r:id="rId2491" ref="B1246"/>
    <hyperlink r:id="rId2492" ref="A1247"/>
    <hyperlink r:id="rId2493" ref="B1247"/>
    <hyperlink r:id="rId2494" ref="A1248"/>
    <hyperlink r:id="rId2495" ref="B1248"/>
    <hyperlink r:id="rId2496" ref="A1249"/>
    <hyperlink r:id="rId2497" ref="B1249"/>
    <hyperlink r:id="rId2498" ref="A1250"/>
    <hyperlink r:id="rId2499" ref="B1250"/>
    <hyperlink r:id="rId2500" ref="A1251"/>
    <hyperlink r:id="rId2501" ref="B1251"/>
    <hyperlink r:id="rId2502" ref="A1252"/>
    <hyperlink r:id="rId2503" ref="B1252"/>
    <hyperlink r:id="rId2504" ref="A1253"/>
    <hyperlink r:id="rId2505" ref="B1253"/>
    <hyperlink r:id="rId2506" ref="A1254"/>
    <hyperlink r:id="rId2507" ref="B1254"/>
    <hyperlink r:id="rId2508" ref="A1255"/>
    <hyperlink r:id="rId2509" ref="B1255"/>
    <hyperlink r:id="rId2510" ref="A1256"/>
    <hyperlink r:id="rId2511" ref="B1256"/>
    <hyperlink r:id="rId2512" ref="A1257"/>
    <hyperlink r:id="rId2513" ref="B1257"/>
    <hyperlink r:id="rId2514" ref="A1258"/>
    <hyperlink r:id="rId2515" ref="B1258"/>
    <hyperlink r:id="rId2516" ref="A1259"/>
    <hyperlink r:id="rId2517" ref="B1259"/>
    <hyperlink r:id="rId2518" ref="A1260"/>
    <hyperlink r:id="rId2519" ref="B1260"/>
    <hyperlink r:id="rId2520" ref="A1261"/>
    <hyperlink r:id="rId2521" ref="B1261"/>
    <hyperlink r:id="rId2522" ref="A1262"/>
    <hyperlink r:id="rId2523" ref="B1262"/>
    <hyperlink r:id="rId2524" ref="A1263"/>
    <hyperlink r:id="rId2525" ref="B1263"/>
    <hyperlink r:id="rId2526" ref="A1264"/>
    <hyperlink r:id="rId2527" ref="B1264"/>
    <hyperlink r:id="rId2528" ref="A1265"/>
    <hyperlink r:id="rId2529" ref="B1265"/>
    <hyperlink r:id="rId2530" ref="A1266"/>
    <hyperlink r:id="rId2531" ref="B1266"/>
    <hyperlink r:id="rId2532" ref="A1267"/>
    <hyperlink r:id="rId2533" ref="B1267"/>
    <hyperlink r:id="rId2534" ref="A1268"/>
    <hyperlink r:id="rId2535" ref="B1268"/>
    <hyperlink r:id="rId2536" ref="A1269"/>
    <hyperlink r:id="rId2537" ref="B1269"/>
    <hyperlink r:id="rId2538" ref="A1270"/>
    <hyperlink r:id="rId2539" ref="B1270"/>
    <hyperlink r:id="rId2540" ref="A1271"/>
    <hyperlink r:id="rId2541" ref="B1271"/>
    <hyperlink r:id="rId2542" ref="A1272"/>
    <hyperlink r:id="rId2543" ref="B1272"/>
    <hyperlink r:id="rId2544" ref="A1273"/>
    <hyperlink r:id="rId2545" ref="B1273"/>
    <hyperlink r:id="rId2546" ref="A1274"/>
    <hyperlink r:id="rId2547" ref="B1274"/>
    <hyperlink r:id="rId2548" ref="A1275"/>
    <hyperlink r:id="rId2549" ref="B1275"/>
    <hyperlink r:id="rId2550" ref="A1276"/>
    <hyperlink r:id="rId2551" ref="B1276"/>
    <hyperlink r:id="rId2552" ref="A1277"/>
    <hyperlink r:id="rId2553" ref="B1277"/>
    <hyperlink r:id="rId2554" ref="A1278"/>
    <hyperlink r:id="rId2555" ref="B1278"/>
    <hyperlink r:id="rId2556" ref="A1279"/>
    <hyperlink r:id="rId2557" ref="B1279"/>
    <hyperlink r:id="rId2558" ref="A1280"/>
    <hyperlink r:id="rId2559" ref="B1280"/>
    <hyperlink r:id="rId2560" ref="A1281"/>
    <hyperlink r:id="rId2561" ref="B1281"/>
    <hyperlink r:id="rId2562" ref="A1282"/>
    <hyperlink r:id="rId2563" ref="B1282"/>
    <hyperlink r:id="rId2564" ref="A1283"/>
    <hyperlink r:id="rId2565" ref="B1283"/>
    <hyperlink r:id="rId2566" ref="A1284"/>
    <hyperlink r:id="rId2567" ref="B1284"/>
    <hyperlink r:id="rId2568" ref="A1285"/>
    <hyperlink r:id="rId2569" ref="B1285"/>
    <hyperlink r:id="rId2570" ref="A1286"/>
    <hyperlink r:id="rId2571" ref="B1286"/>
    <hyperlink r:id="rId2572" ref="A1287"/>
    <hyperlink r:id="rId2573" ref="B1287"/>
    <hyperlink r:id="rId2574" ref="A1288"/>
    <hyperlink r:id="rId2575" ref="B1288"/>
    <hyperlink r:id="rId2576" ref="A1289"/>
    <hyperlink r:id="rId2577" ref="B1289"/>
    <hyperlink r:id="rId2578" ref="A1290"/>
    <hyperlink r:id="rId2579" ref="B1290"/>
    <hyperlink r:id="rId2580" ref="A1291"/>
    <hyperlink r:id="rId2581" ref="B1291"/>
    <hyperlink r:id="rId2582" ref="A1292"/>
    <hyperlink r:id="rId2583" ref="B1292"/>
    <hyperlink r:id="rId2584" ref="A1293"/>
    <hyperlink r:id="rId2585" ref="B1293"/>
    <hyperlink r:id="rId2586" ref="A1294"/>
    <hyperlink r:id="rId2587" ref="B1294"/>
    <hyperlink r:id="rId2588" ref="A1295"/>
    <hyperlink r:id="rId2589" ref="B1295"/>
    <hyperlink r:id="rId2590" ref="A1296"/>
    <hyperlink r:id="rId2591" ref="B1296"/>
    <hyperlink r:id="rId2592" ref="A1297"/>
    <hyperlink r:id="rId2593" ref="B1297"/>
    <hyperlink r:id="rId2594" ref="A1298"/>
    <hyperlink r:id="rId2595" ref="B1298"/>
    <hyperlink r:id="rId2596" ref="A1299"/>
    <hyperlink r:id="rId2597" ref="B1299"/>
    <hyperlink r:id="rId2598" ref="A1300"/>
    <hyperlink r:id="rId2599" ref="B1300"/>
    <hyperlink r:id="rId2600" ref="A1301"/>
    <hyperlink r:id="rId2601" ref="B1301"/>
    <hyperlink r:id="rId2602" ref="A1302"/>
    <hyperlink r:id="rId2603" ref="B1302"/>
    <hyperlink r:id="rId2604" ref="A1303"/>
    <hyperlink r:id="rId2605" ref="B1303"/>
    <hyperlink r:id="rId2606" ref="A1304"/>
    <hyperlink r:id="rId2607" ref="B1304"/>
    <hyperlink r:id="rId2608" ref="A1305"/>
    <hyperlink r:id="rId2609" ref="B1305"/>
    <hyperlink r:id="rId2610" ref="A1306"/>
    <hyperlink r:id="rId2611" ref="B1306"/>
    <hyperlink r:id="rId2612" ref="A1307"/>
    <hyperlink r:id="rId2613" ref="B1307"/>
    <hyperlink r:id="rId2614" ref="A1308"/>
    <hyperlink r:id="rId2615" ref="B1308"/>
    <hyperlink r:id="rId2616" ref="A1309"/>
    <hyperlink r:id="rId2617" ref="B1309"/>
    <hyperlink r:id="rId2618" ref="A1310"/>
    <hyperlink r:id="rId2619" ref="B1310"/>
    <hyperlink r:id="rId2620" ref="A1311"/>
    <hyperlink r:id="rId2621" ref="B1311"/>
    <hyperlink r:id="rId2622" ref="A1312"/>
    <hyperlink r:id="rId2623" ref="B1312"/>
    <hyperlink r:id="rId2624" ref="A1313"/>
    <hyperlink r:id="rId2625" ref="B1313"/>
    <hyperlink r:id="rId2626" ref="A1314"/>
    <hyperlink r:id="rId2627" ref="B1314"/>
    <hyperlink r:id="rId2628" ref="A1315"/>
    <hyperlink r:id="rId2629" ref="B1315"/>
    <hyperlink r:id="rId2630" ref="A1316"/>
    <hyperlink r:id="rId2631" ref="B1316"/>
    <hyperlink r:id="rId2632" ref="A1317"/>
    <hyperlink r:id="rId2633" ref="B1317"/>
    <hyperlink r:id="rId2634" ref="A1318"/>
    <hyperlink r:id="rId2635" ref="B1318"/>
    <hyperlink r:id="rId2636" ref="A1319"/>
    <hyperlink r:id="rId2637" ref="B1319"/>
    <hyperlink r:id="rId2638" ref="A1320"/>
    <hyperlink r:id="rId2639" ref="B1320"/>
    <hyperlink r:id="rId2640" ref="A1321"/>
    <hyperlink r:id="rId2641" ref="B1321"/>
    <hyperlink r:id="rId2642" ref="A1322"/>
    <hyperlink r:id="rId2643" ref="B1322"/>
    <hyperlink r:id="rId2644" ref="A1323"/>
    <hyperlink r:id="rId2645" ref="B1323"/>
    <hyperlink r:id="rId2646" ref="A1324"/>
    <hyperlink r:id="rId2647" ref="B1324"/>
    <hyperlink r:id="rId2648" ref="A1325"/>
    <hyperlink r:id="rId2649" ref="B1325"/>
    <hyperlink r:id="rId2650" ref="A1326"/>
    <hyperlink r:id="rId2651" ref="B1326"/>
    <hyperlink r:id="rId2652" ref="A1327"/>
    <hyperlink r:id="rId2653" ref="B1327"/>
    <hyperlink r:id="rId2654" ref="A1328"/>
    <hyperlink r:id="rId2655" ref="B1328"/>
    <hyperlink r:id="rId2656" ref="A1329"/>
    <hyperlink r:id="rId2657" ref="B1329"/>
    <hyperlink r:id="rId2658" ref="A1330"/>
    <hyperlink r:id="rId2659" ref="B1330"/>
    <hyperlink r:id="rId2660" ref="A1331"/>
    <hyperlink r:id="rId2661" ref="B1331"/>
    <hyperlink r:id="rId2662" ref="A1332"/>
    <hyperlink r:id="rId2663" ref="B1332"/>
    <hyperlink r:id="rId2664" ref="A1333"/>
    <hyperlink r:id="rId2665" ref="B1333"/>
    <hyperlink r:id="rId2666" ref="A1334"/>
    <hyperlink r:id="rId2667" ref="B1334"/>
    <hyperlink r:id="rId2668" ref="A1335"/>
    <hyperlink r:id="rId2669" ref="B1335"/>
    <hyperlink r:id="rId2670" ref="A1336"/>
    <hyperlink r:id="rId2671" ref="B1336"/>
    <hyperlink r:id="rId2672" ref="A1337"/>
    <hyperlink r:id="rId2673" ref="B1337"/>
    <hyperlink r:id="rId2674" ref="A1338"/>
    <hyperlink r:id="rId2675" ref="B1338"/>
    <hyperlink r:id="rId2676" ref="A1339"/>
    <hyperlink r:id="rId2677" ref="B1339"/>
    <hyperlink r:id="rId2678" ref="A1340"/>
    <hyperlink r:id="rId2679" ref="B1340"/>
    <hyperlink r:id="rId2680" ref="A1341"/>
    <hyperlink r:id="rId2681" ref="B1341"/>
    <hyperlink r:id="rId2682" ref="A1342"/>
    <hyperlink r:id="rId2683" ref="B1342"/>
    <hyperlink r:id="rId2684" ref="A1343"/>
    <hyperlink r:id="rId2685" ref="B1343"/>
    <hyperlink r:id="rId2686" ref="A1344"/>
    <hyperlink r:id="rId2687" ref="B1344"/>
    <hyperlink r:id="rId2688" ref="A1345"/>
    <hyperlink r:id="rId2689" ref="B1345"/>
    <hyperlink r:id="rId2690" ref="A1346"/>
    <hyperlink r:id="rId2691" ref="B1346"/>
    <hyperlink r:id="rId2692" ref="A1347"/>
    <hyperlink r:id="rId2693" ref="B1347"/>
    <hyperlink r:id="rId2694" ref="A1348"/>
    <hyperlink r:id="rId2695" ref="B1348"/>
    <hyperlink r:id="rId2696" ref="A1349"/>
    <hyperlink r:id="rId2697" ref="B1349"/>
    <hyperlink r:id="rId2698" ref="A1350"/>
    <hyperlink r:id="rId2699" ref="B1350"/>
    <hyperlink r:id="rId2700" ref="A1351"/>
    <hyperlink r:id="rId2701" ref="B1351"/>
    <hyperlink r:id="rId2702" ref="A1352"/>
    <hyperlink r:id="rId2703" ref="B1352"/>
    <hyperlink r:id="rId2704" ref="A1353"/>
    <hyperlink r:id="rId2705" ref="B1353"/>
    <hyperlink r:id="rId2706" ref="A1354"/>
    <hyperlink r:id="rId2707" ref="B1354"/>
    <hyperlink r:id="rId2708" ref="A1355"/>
    <hyperlink r:id="rId2709" ref="B1355"/>
    <hyperlink r:id="rId2710" ref="A1356"/>
    <hyperlink r:id="rId2711" ref="B1356"/>
    <hyperlink r:id="rId2712" ref="A1357"/>
    <hyperlink r:id="rId2713" ref="B1357"/>
    <hyperlink r:id="rId2714" ref="A1358"/>
    <hyperlink r:id="rId2715" ref="B1358"/>
    <hyperlink r:id="rId2716" ref="A1359"/>
    <hyperlink r:id="rId2717" ref="B1359"/>
    <hyperlink r:id="rId2718" ref="A1360"/>
    <hyperlink r:id="rId2719" ref="B1360"/>
    <hyperlink r:id="rId2720" ref="A1361"/>
    <hyperlink r:id="rId2721" ref="B1361"/>
    <hyperlink r:id="rId2722" ref="A1362"/>
    <hyperlink r:id="rId2723" ref="B1362"/>
    <hyperlink r:id="rId2724" ref="A1363"/>
    <hyperlink r:id="rId2725" ref="B1363"/>
    <hyperlink r:id="rId2726" ref="A1364"/>
    <hyperlink r:id="rId2727" ref="B1364"/>
    <hyperlink r:id="rId2728" ref="A1365"/>
    <hyperlink r:id="rId2729" ref="B1365"/>
    <hyperlink r:id="rId2730" ref="A1366"/>
    <hyperlink r:id="rId2731" ref="B1366"/>
    <hyperlink r:id="rId2732" ref="A1367"/>
    <hyperlink r:id="rId2733" ref="B1367"/>
    <hyperlink r:id="rId2734" ref="A1368"/>
    <hyperlink r:id="rId2735" ref="B1368"/>
    <hyperlink r:id="rId2736" ref="A1369"/>
    <hyperlink r:id="rId2737" ref="B1369"/>
    <hyperlink r:id="rId2738" ref="A1370"/>
    <hyperlink r:id="rId2739" ref="B1370"/>
    <hyperlink r:id="rId2740" ref="A1371"/>
    <hyperlink r:id="rId2741" ref="B1371"/>
    <hyperlink r:id="rId2742" ref="A1372"/>
    <hyperlink r:id="rId2743" ref="B1372"/>
    <hyperlink r:id="rId2744" ref="A1373"/>
    <hyperlink r:id="rId2745" ref="B1373"/>
    <hyperlink r:id="rId2746" ref="A1374"/>
    <hyperlink r:id="rId2747" ref="B1374"/>
    <hyperlink r:id="rId2748" ref="A1375"/>
    <hyperlink r:id="rId2749" ref="B1375"/>
    <hyperlink r:id="rId2750" ref="A1376"/>
    <hyperlink r:id="rId2751" ref="B1376"/>
    <hyperlink r:id="rId2752" ref="A1377"/>
    <hyperlink r:id="rId2753" ref="B1377"/>
    <hyperlink r:id="rId2754" ref="A1378"/>
    <hyperlink r:id="rId2755" ref="B1378"/>
    <hyperlink r:id="rId2756" ref="A1379"/>
    <hyperlink r:id="rId2757" ref="B1379"/>
    <hyperlink r:id="rId2758" ref="A1380"/>
    <hyperlink r:id="rId2759" ref="B1380"/>
    <hyperlink r:id="rId2760" ref="A1381"/>
    <hyperlink r:id="rId2761" ref="B1381"/>
    <hyperlink r:id="rId2762" ref="A1382"/>
    <hyperlink r:id="rId2763" ref="B1382"/>
    <hyperlink r:id="rId2764" ref="A1383"/>
    <hyperlink r:id="rId2765" ref="B1383"/>
    <hyperlink r:id="rId2766" ref="A1384"/>
    <hyperlink r:id="rId2767" ref="B1384"/>
    <hyperlink r:id="rId2768" ref="A1385"/>
    <hyperlink r:id="rId2769" ref="B1385"/>
    <hyperlink r:id="rId2770" ref="A1386"/>
    <hyperlink r:id="rId2771" ref="B1386"/>
    <hyperlink r:id="rId2772" ref="A1387"/>
    <hyperlink r:id="rId2773" ref="B1387"/>
    <hyperlink r:id="rId2774" ref="A1388"/>
    <hyperlink r:id="rId2775" ref="B1388"/>
    <hyperlink r:id="rId2776" ref="A1389"/>
    <hyperlink r:id="rId2777" ref="B1389"/>
    <hyperlink r:id="rId2778" ref="A1390"/>
    <hyperlink r:id="rId2779" ref="B1390"/>
    <hyperlink r:id="rId2780" ref="A1391"/>
    <hyperlink r:id="rId2781" ref="B1391"/>
    <hyperlink r:id="rId2782" ref="A1392"/>
    <hyperlink r:id="rId2783" ref="B1392"/>
    <hyperlink r:id="rId2784" ref="A1393"/>
    <hyperlink r:id="rId2785" ref="B1393"/>
    <hyperlink r:id="rId2786" ref="A1394"/>
    <hyperlink r:id="rId2787" ref="B1394"/>
    <hyperlink r:id="rId2788" ref="A1395"/>
    <hyperlink r:id="rId2789" ref="B1395"/>
    <hyperlink r:id="rId2790" ref="A1396"/>
    <hyperlink r:id="rId2791" ref="B1396"/>
    <hyperlink r:id="rId2792" ref="A1397"/>
    <hyperlink r:id="rId2793" ref="B1397"/>
    <hyperlink r:id="rId2794" ref="A1398"/>
    <hyperlink r:id="rId2795" ref="B1398"/>
    <hyperlink r:id="rId2796" ref="A1399"/>
    <hyperlink r:id="rId2797" ref="B1399"/>
    <hyperlink r:id="rId2798" ref="A1400"/>
    <hyperlink r:id="rId2799" ref="B1400"/>
    <hyperlink r:id="rId2800" ref="A1401"/>
    <hyperlink r:id="rId2801" ref="B1401"/>
    <hyperlink r:id="rId2802" ref="A1402"/>
    <hyperlink r:id="rId2803" ref="B1402"/>
    <hyperlink r:id="rId2804" ref="A1403"/>
    <hyperlink r:id="rId2805" ref="B1403"/>
    <hyperlink r:id="rId2806" ref="A1404"/>
    <hyperlink r:id="rId2807" ref="B1404"/>
    <hyperlink r:id="rId2808" ref="A1405"/>
    <hyperlink r:id="rId2809" ref="B1405"/>
    <hyperlink r:id="rId2810" ref="A1406"/>
    <hyperlink r:id="rId2811" ref="B1406"/>
    <hyperlink r:id="rId2812" ref="A1407"/>
    <hyperlink r:id="rId2813" ref="B1407"/>
    <hyperlink r:id="rId2814" ref="A1408"/>
    <hyperlink r:id="rId2815" ref="B1408"/>
    <hyperlink r:id="rId2816" ref="A1409"/>
    <hyperlink r:id="rId2817" ref="B1409"/>
    <hyperlink r:id="rId2818" ref="A1410"/>
    <hyperlink r:id="rId2819" ref="B1410"/>
    <hyperlink r:id="rId2820" ref="A1411"/>
    <hyperlink r:id="rId2821" ref="B1411"/>
    <hyperlink r:id="rId2822" ref="A1412"/>
    <hyperlink r:id="rId2823" ref="B1412"/>
    <hyperlink r:id="rId2824" ref="A1413"/>
    <hyperlink r:id="rId2825" ref="B1413"/>
    <hyperlink r:id="rId2826" ref="A1414"/>
    <hyperlink r:id="rId2827" ref="B1414"/>
    <hyperlink r:id="rId2828" ref="A1415"/>
    <hyperlink r:id="rId2829" ref="B1415"/>
    <hyperlink r:id="rId2830" ref="A1416"/>
    <hyperlink r:id="rId2831" ref="B1416"/>
    <hyperlink r:id="rId2832" ref="A1417"/>
    <hyperlink r:id="rId2833" ref="B1417"/>
    <hyperlink r:id="rId2834" ref="A1418"/>
    <hyperlink r:id="rId2835" ref="B1418"/>
    <hyperlink r:id="rId2836" ref="A1419"/>
    <hyperlink r:id="rId2837" ref="B1419"/>
    <hyperlink r:id="rId2838" ref="A1420"/>
    <hyperlink r:id="rId2839" ref="B1420"/>
    <hyperlink r:id="rId2840" ref="A1421"/>
    <hyperlink r:id="rId2841" ref="B1421"/>
    <hyperlink r:id="rId2842" ref="A1422"/>
    <hyperlink r:id="rId2843" ref="B1422"/>
    <hyperlink r:id="rId2844" ref="A1423"/>
    <hyperlink r:id="rId2845" ref="B1423"/>
    <hyperlink r:id="rId2846" ref="A1424"/>
    <hyperlink r:id="rId2847" ref="B1424"/>
    <hyperlink r:id="rId2848" ref="A1425"/>
    <hyperlink r:id="rId2849" ref="B1425"/>
    <hyperlink r:id="rId2850" ref="A1426"/>
    <hyperlink r:id="rId2851" ref="B1426"/>
    <hyperlink r:id="rId2852" ref="A1427"/>
    <hyperlink r:id="rId2853" ref="B1427"/>
    <hyperlink r:id="rId2854" ref="A1428"/>
    <hyperlink r:id="rId2855" ref="B1428"/>
    <hyperlink r:id="rId2856" ref="A1429"/>
    <hyperlink r:id="rId2857" ref="B1429"/>
    <hyperlink r:id="rId2858" ref="A1430"/>
    <hyperlink r:id="rId2859" ref="B1430"/>
    <hyperlink r:id="rId2860" ref="A1431"/>
    <hyperlink r:id="rId2861" ref="B1431"/>
    <hyperlink r:id="rId2862" ref="A1432"/>
    <hyperlink r:id="rId2863" ref="B1432"/>
    <hyperlink r:id="rId2864" ref="A1433"/>
    <hyperlink r:id="rId2865" ref="B1433"/>
    <hyperlink r:id="rId2866" ref="A1434"/>
    <hyperlink r:id="rId2867" ref="B1434"/>
    <hyperlink r:id="rId2868" ref="A1435"/>
    <hyperlink r:id="rId2869" ref="B1435"/>
    <hyperlink r:id="rId2870" ref="A1436"/>
    <hyperlink r:id="rId2871" ref="B1436"/>
    <hyperlink r:id="rId2872" ref="A1437"/>
    <hyperlink r:id="rId2873" ref="B1437"/>
    <hyperlink r:id="rId2874" ref="A1438"/>
    <hyperlink r:id="rId2875" ref="B1438"/>
    <hyperlink r:id="rId2876" ref="A1439"/>
    <hyperlink r:id="rId2877" ref="B1439"/>
    <hyperlink r:id="rId2878" ref="A1440"/>
    <hyperlink r:id="rId2879" ref="B1440"/>
    <hyperlink r:id="rId2880" ref="A1441"/>
    <hyperlink r:id="rId2881" ref="B1441"/>
    <hyperlink r:id="rId2882" ref="A1442"/>
    <hyperlink r:id="rId2883" ref="B1442"/>
    <hyperlink r:id="rId2884" ref="A1443"/>
    <hyperlink r:id="rId2885" ref="B1443"/>
    <hyperlink r:id="rId2886" ref="A1444"/>
    <hyperlink r:id="rId2887" ref="B1444"/>
    <hyperlink r:id="rId2888" ref="A1445"/>
    <hyperlink r:id="rId2889" ref="B1445"/>
    <hyperlink r:id="rId2890" ref="A1446"/>
    <hyperlink r:id="rId2891" ref="B1446"/>
    <hyperlink r:id="rId2892" ref="A1447"/>
    <hyperlink r:id="rId2893" ref="B1447"/>
    <hyperlink r:id="rId2894" ref="A1448"/>
    <hyperlink r:id="rId2895" ref="B1448"/>
    <hyperlink r:id="rId2896" ref="A1449"/>
    <hyperlink r:id="rId2897" ref="B1449"/>
    <hyperlink r:id="rId2898" ref="A1450"/>
    <hyperlink r:id="rId2899" ref="B1450"/>
    <hyperlink r:id="rId2900" ref="A1451"/>
    <hyperlink r:id="rId2901" ref="B1451"/>
    <hyperlink r:id="rId2902" ref="A1452"/>
    <hyperlink r:id="rId2903" ref="B1452"/>
    <hyperlink r:id="rId2904" ref="A1453"/>
    <hyperlink r:id="rId2905" ref="B1453"/>
    <hyperlink r:id="rId2906" ref="A1454"/>
    <hyperlink r:id="rId2907" ref="B1454"/>
    <hyperlink r:id="rId2908" ref="A1455"/>
    <hyperlink r:id="rId2909" ref="B1455"/>
    <hyperlink r:id="rId2910" ref="A1456"/>
    <hyperlink r:id="rId2911" ref="B1456"/>
    <hyperlink r:id="rId2912" ref="A1457"/>
    <hyperlink r:id="rId2913" ref="B1457"/>
    <hyperlink r:id="rId2914" ref="A1458"/>
    <hyperlink r:id="rId2915" ref="B1458"/>
    <hyperlink r:id="rId2916" ref="A1459"/>
    <hyperlink r:id="rId2917" ref="B1459"/>
    <hyperlink r:id="rId2918" ref="A1460"/>
    <hyperlink r:id="rId2919" ref="B1460"/>
    <hyperlink r:id="rId2920" ref="A1461"/>
    <hyperlink r:id="rId2921" ref="B1461"/>
    <hyperlink r:id="rId2922" ref="A1462"/>
    <hyperlink r:id="rId2923" ref="B1462"/>
    <hyperlink r:id="rId2924" ref="A1463"/>
    <hyperlink r:id="rId2925" ref="B1463"/>
    <hyperlink r:id="rId2926" ref="A1464"/>
    <hyperlink r:id="rId2927" ref="B1464"/>
    <hyperlink r:id="rId2928" ref="A1465"/>
    <hyperlink r:id="rId2929" ref="B1465"/>
    <hyperlink r:id="rId2930" ref="A1466"/>
    <hyperlink r:id="rId2931" ref="B1466"/>
    <hyperlink r:id="rId2932" ref="A1467"/>
    <hyperlink r:id="rId2933" ref="B1467"/>
    <hyperlink r:id="rId2934" ref="A1468"/>
    <hyperlink r:id="rId2935" ref="B1468"/>
    <hyperlink r:id="rId2936" ref="A1469"/>
    <hyperlink r:id="rId2937" ref="B1469"/>
    <hyperlink r:id="rId2938" ref="A1470"/>
    <hyperlink r:id="rId2939" ref="B1470"/>
    <hyperlink r:id="rId2940" ref="A1471"/>
    <hyperlink r:id="rId2941" ref="B1471"/>
    <hyperlink r:id="rId2942" ref="A1472"/>
    <hyperlink r:id="rId2943" ref="B1472"/>
    <hyperlink r:id="rId2944" ref="A1473"/>
    <hyperlink r:id="rId2945" ref="B1473"/>
    <hyperlink r:id="rId2946" ref="A1474"/>
    <hyperlink r:id="rId2947" ref="B1474"/>
    <hyperlink r:id="rId2948" ref="A1475"/>
    <hyperlink r:id="rId2949" ref="B1475"/>
    <hyperlink r:id="rId2950" ref="A1476"/>
    <hyperlink r:id="rId2951" ref="B1476"/>
    <hyperlink r:id="rId2952" ref="A1477"/>
    <hyperlink r:id="rId2953" ref="B1477"/>
    <hyperlink r:id="rId2954" ref="A1478"/>
    <hyperlink r:id="rId2955" ref="B1478"/>
    <hyperlink r:id="rId2956" ref="A1479"/>
    <hyperlink r:id="rId2957" ref="B1479"/>
    <hyperlink r:id="rId2958" ref="A1480"/>
    <hyperlink r:id="rId2959" ref="B1480"/>
    <hyperlink r:id="rId2960" ref="A1481"/>
    <hyperlink r:id="rId2961" ref="B1481"/>
    <hyperlink r:id="rId2962" ref="A1482"/>
    <hyperlink r:id="rId2963" ref="B1482"/>
    <hyperlink r:id="rId2964" ref="A1483"/>
    <hyperlink r:id="rId2965" ref="B1483"/>
    <hyperlink r:id="rId2966" ref="A1484"/>
    <hyperlink r:id="rId2967" ref="B1484"/>
    <hyperlink r:id="rId2968" ref="A1485"/>
    <hyperlink r:id="rId2969" ref="B1485"/>
    <hyperlink r:id="rId2970" ref="A1486"/>
    <hyperlink r:id="rId2971" ref="B1486"/>
    <hyperlink r:id="rId2972" ref="A1487"/>
    <hyperlink r:id="rId2973" ref="B1487"/>
    <hyperlink r:id="rId2974" ref="A1488"/>
    <hyperlink r:id="rId2975" ref="B1488"/>
    <hyperlink r:id="rId2976" ref="A1489"/>
    <hyperlink r:id="rId2977" ref="B1489"/>
    <hyperlink r:id="rId2978" ref="A1490"/>
    <hyperlink r:id="rId2979" ref="B1490"/>
    <hyperlink r:id="rId2980" ref="A1491"/>
    <hyperlink r:id="rId2981" ref="B1491"/>
    <hyperlink r:id="rId2982" ref="A1492"/>
    <hyperlink r:id="rId2983" ref="B1492"/>
    <hyperlink r:id="rId2984" ref="A1493"/>
    <hyperlink r:id="rId2985" ref="B1493"/>
    <hyperlink r:id="rId2986" ref="A1494"/>
    <hyperlink r:id="rId2987" ref="B1494"/>
    <hyperlink r:id="rId2988" ref="A1495"/>
    <hyperlink r:id="rId2989" ref="B1495"/>
    <hyperlink r:id="rId2990" ref="A1496"/>
    <hyperlink r:id="rId2991" ref="B1496"/>
    <hyperlink r:id="rId2992" ref="A1497"/>
    <hyperlink r:id="rId2993" ref="B1497"/>
    <hyperlink r:id="rId2994" ref="A1498"/>
    <hyperlink r:id="rId2995" ref="B1498"/>
    <hyperlink r:id="rId2996" ref="A1499"/>
    <hyperlink r:id="rId2997" ref="B1499"/>
    <hyperlink r:id="rId2998" ref="A1500"/>
    <hyperlink r:id="rId2999" ref="B1500"/>
    <hyperlink r:id="rId3000" ref="A1501"/>
    <hyperlink r:id="rId3001" ref="B1501"/>
    <hyperlink r:id="rId3002" ref="A1502"/>
    <hyperlink r:id="rId3003" ref="B1502"/>
    <hyperlink r:id="rId3004" ref="A1503"/>
    <hyperlink r:id="rId3005" ref="B1503"/>
    <hyperlink r:id="rId3006" ref="A1504"/>
    <hyperlink r:id="rId3007" ref="B1504"/>
    <hyperlink r:id="rId3008" ref="A1505"/>
    <hyperlink r:id="rId3009" ref="B1505"/>
    <hyperlink r:id="rId3010" ref="A1506"/>
    <hyperlink r:id="rId3011" ref="B1506"/>
    <hyperlink r:id="rId3012" ref="A1507"/>
    <hyperlink r:id="rId3013" ref="B1507"/>
    <hyperlink r:id="rId3014" ref="A1508"/>
    <hyperlink r:id="rId3015" ref="B1508"/>
    <hyperlink r:id="rId3016" ref="A1509"/>
    <hyperlink r:id="rId3017" ref="B1509"/>
    <hyperlink r:id="rId3018" ref="A1510"/>
    <hyperlink r:id="rId3019" ref="B1510"/>
    <hyperlink r:id="rId3020" ref="A1511"/>
    <hyperlink r:id="rId3021" ref="B1511"/>
    <hyperlink r:id="rId3022" ref="A1512"/>
    <hyperlink r:id="rId3023" ref="B1512"/>
    <hyperlink r:id="rId3024" ref="A1513"/>
    <hyperlink r:id="rId3025" ref="B1513"/>
    <hyperlink r:id="rId3026" ref="A1514"/>
    <hyperlink r:id="rId3027" ref="B1514"/>
    <hyperlink r:id="rId3028" ref="A1515"/>
    <hyperlink r:id="rId3029" ref="B1515"/>
    <hyperlink r:id="rId3030" ref="A1516"/>
    <hyperlink r:id="rId3031" ref="B1516"/>
    <hyperlink r:id="rId3032" ref="A1517"/>
    <hyperlink r:id="rId3033" ref="B1517"/>
    <hyperlink r:id="rId3034" ref="A1518"/>
    <hyperlink r:id="rId3035" ref="B1518"/>
    <hyperlink r:id="rId3036" ref="A1519"/>
    <hyperlink r:id="rId3037" ref="B1519"/>
    <hyperlink r:id="rId3038" ref="A1520"/>
    <hyperlink r:id="rId3039" ref="B1520"/>
    <hyperlink r:id="rId3040" ref="A1521"/>
    <hyperlink r:id="rId3041" ref="B1521"/>
    <hyperlink r:id="rId3042" ref="A1522"/>
    <hyperlink r:id="rId3043" ref="B1522"/>
    <hyperlink r:id="rId3044" ref="A1523"/>
    <hyperlink r:id="rId3045" ref="B1523"/>
    <hyperlink r:id="rId3046" ref="A1524"/>
    <hyperlink r:id="rId3047" ref="B1524"/>
    <hyperlink r:id="rId3048" ref="A1525"/>
    <hyperlink r:id="rId3049" ref="B1525"/>
    <hyperlink r:id="rId3050" ref="A1526"/>
    <hyperlink r:id="rId3051" ref="B1526"/>
    <hyperlink r:id="rId3052" ref="A1527"/>
    <hyperlink r:id="rId3053" ref="B1527"/>
    <hyperlink r:id="rId3054" ref="A1528"/>
    <hyperlink r:id="rId3055" ref="B1528"/>
    <hyperlink r:id="rId3056" ref="A1529"/>
    <hyperlink r:id="rId3057" ref="B1529"/>
    <hyperlink r:id="rId3058" ref="A1530"/>
    <hyperlink r:id="rId3059" ref="B1530"/>
    <hyperlink r:id="rId3060" ref="A1531"/>
    <hyperlink r:id="rId3061" ref="B1531"/>
    <hyperlink r:id="rId3062" ref="A1532"/>
    <hyperlink r:id="rId3063" ref="B1532"/>
    <hyperlink r:id="rId3064" ref="A1533"/>
    <hyperlink r:id="rId3065" ref="B1533"/>
    <hyperlink r:id="rId3066" ref="A1534"/>
    <hyperlink r:id="rId3067" ref="B1534"/>
    <hyperlink r:id="rId3068" ref="A1535"/>
    <hyperlink r:id="rId3069" ref="B1535"/>
    <hyperlink r:id="rId3070" ref="A1536"/>
    <hyperlink r:id="rId3071" ref="B1536"/>
    <hyperlink r:id="rId3072" ref="A1537"/>
    <hyperlink r:id="rId3073" ref="B1537"/>
    <hyperlink r:id="rId3074" ref="A1538"/>
    <hyperlink r:id="rId3075" ref="B1538"/>
    <hyperlink r:id="rId3076" ref="A1539"/>
    <hyperlink r:id="rId3077" ref="B1539"/>
    <hyperlink r:id="rId3078" ref="A1540"/>
    <hyperlink r:id="rId3079" ref="B1540"/>
    <hyperlink r:id="rId3080" ref="A1541"/>
    <hyperlink r:id="rId3081" ref="B1541"/>
    <hyperlink r:id="rId3082" ref="A1542"/>
    <hyperlink r:id="rId3083" ref="B1542"/>
    <hyperlink r:id="rId3084" ref="A1543"/>
    <hyperlink r:id="rId3085" ref="B1543"/>
    <hyperlink r:id="rId3086" ref="A1544"/>
    <hyperlink r:id="rId3087" ref="B1544"/>
    <hyperlink r:id="rId3088" ref="A1545"/>
    <hyperlink r:id="rId3089" ref="B1545"/>
    <hyperlink r:id="rId3090" ref="A1546"/>
    <hyperlink r:id="rId3091" ref="B1546"/>
    <hyperlink r:id="rId3092" ref="A1547"/>
    <hyperlink r:id="rId3093" ref="B1547"/>
    <hyperlink r:id="rId3094" ref="A1548"/>
    <hyperlink r:id="rId3095" ref="B1548"/>
    <hyperlink r:id="rId3096" ref="A1549"/>
    <hyperlink r:id="rId3097" ref="B1549"/>
    <hyperlink r:id="rId3098" ref="A1550"/>
    <hyperlink r:id="rId3099" ref="B1550"/>
    <hyperlink r:id="rId3100" ref="A1551"/>
    <hyperlink r:id="rId3101" ref="B1551"/>
    <hyperlink r:id="rId3102" ref="A1552"/>
    <hyperlink r:id="rId3103" ref="B1552"/>
    <hyperlink r:id="rId3104" ref="A1553"/>
    <hyperlink r:id="rId3105" ref="B1553"/>
    <hyperlink r:id="rId3106" ref="A1554"/>
    <hyperlink r:id="rId3107" ref="B1554"/>
    <hyperlink r:id="rId3108" ref="A1555"/>
    <hyperlink r:id="rId3109" ref="B1555"/>
    <hyperlink r:id="rId3110" ref="A1556"/>
    <hyperlink r:id="rId3111" ref="B1556"/>
    <hyperlink r:id="rId3112" ref="A1557"/>
    <hyperlink r:id="rId3113" ref="B1557"/>
    <hyperlink r:id="rId3114" ref="A1558"/>
    <hyperlink r:id="rId3115" ref="B1558"/>
    <hyperlink r:id="rId3116" ref="A1559"/>
    <hyperlink r:id="rId3117" ref="B1559"/>
    <hyperlink r:id="rId3118" ref="A1560"/>
    <hyperlink r:id="rId3119" ref="B1560"/>
    <hyperlink r:id="rId3120" ref="A1561"/>
    <hyperlink r:id="rId3121" ref="B1561"/>
    <hyperlink r:id="rId3122" ref="A1562"/>
    <hyperlink r:id="rId3123" ref="B1562"/>
    <hyperlink r:id="rId3124" ref="A1563"/>
    <hyperlink r:id="rId3125" ref="B1563"/>
    <hyperlink r:id="rId3126" ref="A1564"/>
    <hyperlink r:id="rId3127" ref="B1564"/>
    <hyperlink r:id="rId3128" ref="A1565"/>
    <hyperlink r:id="rId3129" ref="B1565"/>
    <hyperlink r:id="rId3130" ref="A1566"/>
    <hyperlink r:id="rId3131" ref="B1566"/>
    <hyperlink r:id="rId3132" ref="A1567"/>
    <hyperlink r:id="rId3133" ref="B1567"/>
    <hyperlink r:id="rId3134" ref="A1568"/>
    <hyperlink r:id="rId3135" ref="B1568"/>
    <hyperlink r:id="rId3136" ref="A1569"/>
    <hyperlink r:id="rId3137" ref="B1569"/>
    <hyperlink r:id="rId3138" ref="A1570"/>
    <hyperlink r:id="rId3139" ref="B1570"/>
    <hyperlink r:id="rId3140" ref="A1571"/>
    <hyperlink r:id="rId3141" ref="B1571"/>
    <hyperlink r:id="rId3142" ref="A1572"/>
    <hyperlink r:id="rId3143" ref="B1572"/>
    <hyperlink r:id="rId3144" ref="A1573"/>
    <hyperlink r:id="rId3145" ref="B1573"/>
    <hyperlink r:id="rId3146" ref="A1574"/>
    <hyperlink r:id="rId3147" ref="B1574"/>
    <hyperlink r:id="rId3148" ref="A1575"/>
    <hyperlink r:id="rId3149" ref="B1575"/>
    <hyperlink r:id="rId3150" ref="A1576"/>
    <hyperlink r:id="rId3151" ref="B1576"/>
    <hyperlink r:id="rId3152" ref="A1577"/>
    <hyperlink r:id="rId3153" ref="B1577"/>
    <hyperlink r:id="rId3154" ref="A1578"/>
    <hyperlink r:id="rId3155" ref="B1578"/>
    <hyperlink r:id="rId3156" ref="A1579"/>
    <hyperlink r:id="rId3157" ref="B1579"/>
    <hyperlink r:id="rId3158" ref="A1580"/>
    <hyperlink r:id="rId3159" ref="B1580"/>
    <hyperlink r:id="rId3160" ref="A1581"/>
    <hyperlink r:id="rId3161" ref="B1581"/>
    <hyperlink r:id="rId3162" ref="A1582"/>
    <hyperlink r:id="rId3163" ref="B1582"/>
    <hyperlink r:id="rId3164" ref="A1583"/>
    <hyperlink r:id="rId3165" ref="B1583"/>
    <hyperlink r:id="rId3166" ref="A1584"/>
    <hyperlink r:id="rId3167" ref="B1584"/>
    <hyperlink r:id="rId3168" ref="A1585"/>
    <hyperlink r:id="rId3169" ref="B1585"/>
    <hyperlink r:id="rId3170" ref="A1586"/>
    <hyperlink r:id="rId3171" ref="B1586"/>
    <hyperlink r:id="rId3172" ref="A1587"/>
    <hyperlink r:id="rId3173" ref="B1587"/>
    <hyperlink r:id="rId3174" ref="A1588"/>
    <hyperlink r:id="rId3175" ref="B1588"/>
    <hyperlink r:id="rId3176" ref="A1589"/>
    <hyperlink r:id="rId3177" ref="B1589"/>
    <hyperlink r:id="rId3178" ref="A1590"/>
    <hyperlink r:id="rId3179" ref="B1590"/>
    <hyperlink r:id="rId3180" ref="A1591"/>
    <hyperlink r:id="rId3181" ref="B1591"/>
    <hyperlink r:id="rId3182" ref="A1592"/>
    <hyperlink r:id="rId3183" ref="B1592"/>
    <hyperlink r:id="rId3184" ref="A1593"/>
    <hyperlink r:id="rId3185" ref="B1593"/>
    <hyperlink r:id="rId3186" ref="A1594"/>
    <hyperlink r:id="rId3187" ref="B1594"/>
    <hyperlink r:id="rId3188" ref="A1595"/>
    <hyperlink r:id="rId3189" ref="B1595"/>
    <hyperlink r:id="rId3190" ref="A1596"/>
    <hyperlink r:id="rId3191" ref="B1596"/>
    <hyperlink r:id="rId3192" ref="A1597"/>
    <hyperlink r:id="rId3193" ref="B1597"/>
    <hyperlink r:id="rId3194" ref="A1598"/>
    <hyperlink r:id="rId3195" ref="B1598"/>
    <hyperlink r:id="rId3196" ref="A1599"/>
    <hyperlink r:id="rId3197" ref="B1599"/>
    <hyperlink r:id="rId3198" ref="A1600"/>
    <hyperlink r:id="rId3199" ref="B1600"/>
    <hyperlink r:id="rId3200" ref="A1601"/>
    <hyperlink r:id="rId3201" ref="B1601"/>
    <hyperlink r:id="rId3202" ref="A1602"/>
    <hyperlink r:id="rId3203" ref="B1602"/>
    <hyperlink r:id="rId3204" ref="A1603"/>
    <hyperlink r:id="rId3205" ref="B1603"/>
    <hyperlink r:id="rId3206" ref="A1604"/>
    <hyperlink r:id="rId3207" ref="B1604"/>
    <hyperlink r:id="rId3208" ref="A1605"/>
    <hyperlink r:id="rId3209" ref="B1605"/>
    <hyperlink r:id="rId3210" ref="A1606"/>
    <hyperlink r:id="rId3211" ref="B1606"/>
    <hyperlink r:id="rId3212" ref="A1607"/>
    <hyperlink r:id="rId3213" ref="B1607"/>
    <hyperlink r:id="rId3214" ref="A1608"/>
    <hyperlink r:id="rId3215" ref="B1608"/>
    <hyperlink r:id="rId3216" ref="A1609"/>
    <hyperlink r:id="rId3217" ref="B1609"/>
    <hyperlink r:id="rId3218" ref="A1610"/>
    <hyperlink r:id="rId3219" ref="B1610"/>
    <hyperlink r:id="rId3220" ref="A1611"/>
    <hyperlink r:id="rId3221" ref="B1611"/>
    <hyperlink r:id="rId3222" ref="A1612"/>
    <hyperlink r:id="rId3223" ref="B1612"/>
    <hyperlink r:id="rId3224" ref="A1613"/>
    <hyperlink r:id="rId3225" ref="B1613"/>
    <hyperlink r:id="rId3226" ref="A1614"/>
    <hyperlink r:id="rId3227" ref="B1614"/>
    <hyperlink r:id="rId3228" ref="A1615"/>
    <hyperlink r:id="rId3229" ref="B1615"/>
    <hyperlink r:id="rId3230" ref="A1616"/>
    <hyperlink r:id="rId3231" ref="B1616"/>
    <hyperlink r:id="rId3232" ref="A1617"/>
    <hyperlink r:id="rId3233" ref="B1617"/>
    <hyperlink r:id="rId3234" ref="A1618"/>
    <hyperlink r:id="rId3235" ref="B1618"/>
    <hyperlink r:id="rId3236" ref="A1619"/>
    <hyperlink r:id="rId3237" ref="B1619"/>
    <hyperlink r:id="rId3238" ref="A1620"/>
    <hyperlink r:id="rId3239" ref="B1620"/>
    <hyperlink r:id="rId3240" ref="A1621"/>
    <hyperlink r:id="rId3241" ref="B1621"/>
    <hyperlink r:id="rId3242" ref="A1622"/>
    <hyperlink r:id="rId3243" ref="B1622"/>
    <hyperlink r:id="rId3244" ref="A1623"/>
    <hyperlink r:id="rId3245" ref="B1623"/>
    <hyperlink r:id="rId3246" ref="A1624"/>
    <hyperlink r:id="rId3247" ref="B1624"/>
    <hyperlink r:id="rId3248" ref="A1625"/>
    <hyperlink r:id="rId3249" ref="B1625"/>
    <hyperlink r:id="rId3250" ref="A1626"/>
    <hyperlink r:id="rId3251" ref="B1626"/>
    <hyperlink r:id="rId3252" ref="A1627"/>
    <hyperlink r:id="rId3253" ref="B1627"/>
    <hyperlink r:id="rId3254" ref="A1628"/>
    <hyperlink r:id="rId3255" ref="B1628"/>
    <hyperlink r:id="rId3256" ref="A1629"/>
    <hyperlink r:id="rId3257" ref="B1629"/>
    <hyperlink r:id="rId3258" ref="A1630"/>
    <hyperlink r:id="rId3259" ref="B1630"/>
    <hyperlink r:id="rId3260" ref="A1631"/>
    <hyperlink r:id="rId3261" ref="B1631"/>
    <hyperlink r:id="rId3262" ref="A1632"/>
    <hyperlink r:id="rId3263" ref="B1632"/>
    <hyperlink r:id="rId3264" ref="A1633"/>
    <hyperlink r:id="rId3265" ref="B1633"/>
    <hyperlink r:id="rId3266" ref="A1634"/>
    <hyperlink r:id="rId3267" ref="B1634"/>
    <hyperlink r:id="rId3268" ref="A1635"/>
    <hyperlink r:id="rId3269" ref="B1635"/>
    <hyperlink r:id="rId3270" ref="A1636"/>
    <hyperlink r:id="rId3271" ref="B1636"/>
    <hyperlink r:id="rId3272" ref="A1637"/>
    <hyperlink r:id="rId3273" ref="B1637"/>
    <hyperlink r:id="rId3274" ref="A1638"/>
    <hyperlink r:id="rId3275" ref="B1638"/>
    <hyperlink r:id="rId3276" ref="A1639"/>
    <hyperlink r:id="rId3277" ref="B1639"/>
    <hyperlink r:id="rId3278" ref="A1640"/>
    <hyperlink r:id="rId3279" ref="B1640"/>
    <hyperlink r:id="rId3280" ref="A1641"/>
    <hyperlink r:id="rId3281" ref="B1641"/>
    <hyperlink r:id="rId3282" ref="A1642"/>
    <hyperlink r:id="rId3283" ref="B1642"/>
    <hyperlink r:id="rId3284" ref="A1643"/>
    <hyperlink r:id="rId3285" ref="B1643"/>
    <hyperlink r:id="rId3286" ref="A1644"/>
    <hyperlink r:id="rId3287" ref="B1644"/>
    <hyperlink r:id="rId3288" ref="A1645"/>
    <hyperlink r:id="rId3289" ref="B1645"/>
    <hyperlink r:id="rId3290" ref="A1646"/>
    <hyperlink r:id="rId3291" ref="B1646"/>
    <hyperlink r:id="rId3292" ref="A1647"/>
    <hyperlink r:id="rId3293" ref="B1647"/>
    <hyperlink r:id="rId3294" ref="A1648"/>
    <hyperlink r:id="rId3295" ref="B1648"/>
    <hyperlink r:id="rId3296" ref="A1649"/>
    <hyperlink r:id="rId3297" ref="B1649"/>
    <hyperlink r:id="rId3298" ref="A1650"/>
    <hyperlink r:id="rId3299" ref="B1650"/>
    <hyperlink r:id="rId3300" ref="A1651"/>
    <hyperlink r:id="rId3301" ref="B1651"/>
    <hyperlink r:id="rId3302" ref="A1652"/>
    <hyperlink r:id="rId3303" ref="B1652"/>
    <hyperlink r:id="rId3304" ref="A1653"/>
    <hyperlink r:id="rId3305" ref="B1653"/>
    <hyperlink r:id="rId3306" ref="A1654"/>
    <hyperlink r:id="rId3307" ref="B1654"/>
    <hyperlink r:id="rId3308" ref="A1655"/>
    <hyperlink r:id="rId3309" ref="B1655"/>
    <hyperlink r:id="rId3310" ref="A1656"/>
    <hyperlink r:id="rId3311" ref="B1656"/>
    <hyperlink r:id="rId3312" ref="A1657"/>
    <hyperlink r:id="rId3313" ref="B1657"/>
    <hyperlink r:id="rId3314" ref="A1658"/>
    <hyperlink r:id="rId3315" ref="B1658"/>
    <hyperlink r:id="rId3316" ref="A1659"/>
    <hyperlink r:id="rId3317" ref="B1659"/>
    <hyperlink r:id="rId3318" ref="A1660"/>
    <hyperlink r:id="rId3319" ref="B1660"/>
    <hyperlink r:id="rId3320" ref="A1661"/>
    <hyperlink r:id="rId3321" ref="B1661"/>
    <hyperlink r:id="rId3322" ref="A1662"/>
    <hyperlink r:id="rId3323" ref="B1662"/>
    <hyperlink r:id="rId3324" ref="A1663"/>
    <hyperlink r:id="rId3325" ref="B1663"/>
    <hyperlink r:id="rId3326" ref="A1664"/>
    <hyperlink r:id="rId3327" ref="B1664"/>
    <hyperlink r:id="rId3328" ref="A1665"/>
    <hyperlink r:id="rId3329" ref="B1665"/>
    <hyperlink r:id="rId3330" ref="A1666"/>
    <hyperlink r:id="rId3331" ref="B1666"/>
    <hyperlink r:id="rId3332" ref="A1667"/>
    <hyperlink r:id="rId3333" ref="B1667"/>
    <hyperlink r:id="rId3334" ref="A1668"/>
    <hyperlink r:id="rId3335" ref="B1668"/>
    <hyperlink r:id="rId3336" ref="A1669"/>
    <hyperlink r:id="rId3337" ref="B1669"/>
    <hyperlink r:id="rId3338" ref="A1670"/>
    <hyperlink r:id="rId3339" ref="B1670"/>
    <hyperlink r:id="rId3340" ref="A1671"/>
    <hyperlink r:id="rId3341" ref="B1671"/>
    <hyperlink r:id="rId3342" ref="A1672"/>
    <hyperlink r:id="rId3343" ref="B1672"/>
    <hyperlink r:id="rId3344" ref="A1673"/>
    <hyperlink r:id="rId3345" ref="B1673"/>
    <hyperlink r:id="rId3346" ref="A1674"/>
    <hyperlink r:id="rId3347" ref="B1674"/>
    <hyperlink r:id="rId3348" ref="A1675"/>
    <hyperlink r:id="rId3349" ref="B1675"/>
    <hyperlink r:id="rId3350" ref="A1676"/>
    <hyperlink r:id="rId3351" ref="B1676"/>
    <hyperlink r:id="rId3352" ref="A1677"/>
    <hyperlink r:id="rId3353" ref="B1677"/>
    <hyperlink r:id="rId3354" ref="A1678"/>
    <hyperlink r:id="rId3355" ref="B1678"/>
    <hyperlink r:id="rId3356" ref="A1679"/>
    <hyperlink r:id="rId3357" ref="B1679"/>
    <hyperlink r:id="rId3358" ref="A1680"/>
    <hyperlink r:id="rId3359" ref="B1680"/>
    <hyperlink r:id="rId3360" ref="A1681"/>
    <hyperlink r:id="rId3361" ref="B1681"/>
    <hyperlink r:id="rId3362" ref="A1682"/>
    <hyperlink r:id="rId3363" ref="B1682"/>
    <hyperlink r:id="rId3364" ref="A1683"/>
    <hyperlink r:id="rId3365" ref="B1683"/>
    <hyperlink r:id="rId3366" ref="A1684"/>
    <hyperlink r:id="rId3367" ref="B1684"/>
    <hyperlink r:id="rId3368" ref="A1685"/>
    <hyperlink r:id="rId3369" ref="B1685"/>
    <hyperlink r:id="rId3370" ref="A1686"/>
    <hyperlink r:id="rId3371" ref="B1686"/>
    <hyperlink r:id="rId3372" ref="A1687"/>
    <hyperlink r:id="rId3373" ref="B1687"/>
    <hyperlink r:id="rId3374" ref="A1688"/>
    <hyperlink r:id="rId3375" ref="B1688"/>
    <hyperlink r:id="rId3376" ref="A1689"/>
    <hyperlink r:id="rId3377" ref="B1689"/>
    <hyperlink r:id="rId3378" ref="A1690"/>
    <hyperlink r:id="rId3379" ref="B1690"/>
    <hyperlink r:id="rId3380" ref="A1691"/>
    <hyperlink r:id="rId3381" ref="B1691"/>
    <hyperlink r:id="rId3382" ref="A1692"/>
    <hyperlink r:id="rId3383" ref="B1692"/>
    <hyperlink r:id="rId3384" ref="A1693"/>
    <hyperlink r:id="rId3385" ref="B1693"/>
    <hyperlink r:id="rId3386" ref="A1694"/>
    <hyperlink r:id="rId3387" ref="B1694"/>
    <hyperlink r:id="rId3388" ref="A1695"/>
    <hyperlink r:id="rId3389" ref="B1695"/>
    <hyperlink r:id="rId3390" ref="A1696"/>
    <hyperlink r:id="rId3391" ref="B1696"/>
    <hyperlink r:id="rId3392" ref="A1697"/>
    <hyperlink r:id="rId3393" ref="B1697"/>
    <hyperlink r:id="rId3394" ref="A1698"/>
    <hyperlink r:id="rId3395" ref="B1698"/>
    <hyperlink r:id="rId3396" ref="A1699"/>
    <hyperlink r:id="rId3397" ref="B1699"/>
    <hyperlink r:id="rId3398" ref="A1700"/>
    <hyperlink r:id="rId3399" ref="B1700"/>
    <hyperlink r:id="rId3400" ref="A1701"/>
    <hyperlink r:id="rId3401" ref="B1701"/>
    <hyperlink r:id="rId3402" ref="A1702"/>
    <hyperlink r:id="rId3403" ref="B1702"/>
    <hyperlink r:id="rId3404" ref="A1703"/>
    <hyperlink r:id="rId3405" ref="B1703"/>
    <hyperlink r:id="rId3406" ref="A1704"/>
    <hyperlink r:id="rId3407" ref="B1704"/>
    <hyperlink r:id="rId3408" ref="A1705"/>
    <hyperlink r:id="rId3409" ref="B1705"/>
    <hyperlink r:id="rId3410" ref="A1706"/>
    <hyperlink r:id="rId3411" ref="B1706"/>
    <hyperlink r:id="rId3412" ref="A1707"/>
    <hyperlink r:id="rId3413" ref="B1707"/>
    <hyperlink r:id="rId3414" ref="A1708"/>
    <hyperlink r:id="rId3415" ref="B1708"/>
    <hyperlink r:id="rId3416" ref="A1709"/>
    <hyperlink r:id="rId3417" ref="B1709"/>
    <hyperlink r:id="rId3418" ref="A1710"/>
    <hyperlink r:id="rId3419" ref="B1710"/>
    <hyperlink r:id="rId3420" ref="A1711"/>
    <hyperlink r:id="rId3421" ref="B1711"/>
    <hyperlink r:id="rId3422" ref="A1712"/>
    <hyperlink r:id="rId3423" ref="B1712"/>
    <hyperlink r:id="rId3424" ref="A1713"/>
    <hyperlink r:id="rId3425" ref="B1713"/>
    <hyperlink r:id="rId3426" ref="A1714"/>
    <hyperlink r:id="rId3427" ref="B1714"/>
    <hyperlink r:id="rId3428" ref="A1715"/>
    <hyperlink r:id="rId3429" ref="B1715"/>
    <hyperlink r:id="rId3430" ref="A1716"/>
    <hyperlink r:id="rId3431" ref="B1716"/>
    <hyperlink r:id="rId3432" ref="A1717"/>
    <hyperlink r:id="rId3433" ref="B1717"/>
    <hyperlink r:id="rId3434" ref="A1718"/>
    <hyperlink r:id="rId3435" ref="B1718"/>
    <hyperlink r:id="rId3436" ref="A1719"/>
    <hyperlink r:id="rId3437" ref="B1719"/>
    <hyperlink r:id="rId3438" ref="A1720"/>
    <hyperlink r:id="rId3439" ref="B1720"/>
    <hyperlink r:id="rId3440" ref="A1721"/>
    <hyperlink r:id="rId3441" ref="B1721"/>
    <hyperlink r:id="rId3442" ref="A1722"/>
    <hyperlink r:id="rId3443" ref="B1722"/>
    <hyperlink r:id="rId3444" ref="A1723"/>
    <hyperlink r:id="rId3445" ref="B1723"/>
    <hyperlink r:id="rId3446" ref="A1724"/>
    <hyperlink r:id="rId3447" ref="B1724"/>
    <hyperlink r:id="rId3448" ref="A1725"/>
    <hyperlink r:id="rId3449" ref="B1725"/>
    <hyperlink r:id="rId3450" ref="A1726"/>
    <hyperlink r:id="rId3451" ref="B1726"/>
    <hyperlink r:id="rId3452" ref="A1727"/>
    <hyperlink r:id="rId3453" ref="B1727"/>
    <hyperlink r:id="rId3454" ref="A1728"/>
    <hyperlink r:id="rId3455" ref="B1728"/>
    <hyperlink r:id="rId3456" ref="A1729"/>
    <hyperlink r:id="rId3457" ref="B1729"/>
    <hyperlink r:id="rId3458" ref="A1730"/>
    <hyperlink r:id="rId3459" ref="B1730"/>
    <hyperlink r:id="rId3460" ref="A1731"/>
    <hyperlink r:id="rId3461" ref="B1731"/>
    <hyperlink r:id="rId3462" ref="A1732"/>
    <hyperlink r:id="rId3463" ref="B1732"/>
    <hyperlink r:id="rId3464" ref="A1733"/>
    <hyperlink r:id="rId3465" ref="B1733"/>
    <hyperlink r:id="rId3466" ref="A1734"/>
    <hyperlink r:id="rId3467" ref="B1734"/>
    <hyperlink r:id="rId3468" ref="A1735"/>
    <hyperlink r:id="rId3469" ref="B1735"/>
    <hyperlink r:id="rId3470" ref="A1736"/>
    <hyperlink r:id="rId3471" ref="B1736"/>
    <hyperlink r:id="rId3472" ref="A1737"/>
    <hyperlink r:id="rId3473" ref="B1737"/>
    <hyperlink r:id="rId3474" ref="A1738"/>
    <hyperlink r:id="rId3475" ref="B1738"/>
    <hyperlink r:id="rId3476" ref="A1739"/>
    <hyperlink r:id="rId3477" ref="B1739"/>
    <hyperlink r:id="rId3478" ref="A1740"/>
    <hyperlink r:id="rId3479" ref="B1740"/>
    <hyperlink r:id="rId3480" ref="A1741"/>
    <hyperlink r:id="rId3481" ref="B1741"/>
    <hyperlink r:id="rId3482" ref="A1742"/>
    <hyperlink r:id="rId3483" ref="B1742"/>
    <hyperlink r:id="rId3484" ref="A1743"/>
    <hyperlink r:id="rId3485" ref="B1743"/>
    <hyperlink r:id="rId3486" ref="A1744"/>
    <hyperlink r:id="rId3487" ref="B1744"/>
    <hyperlink r:id="rId3488" ref="A1745"/>
    <hyperlink r:id="rId3489" ref="B1745"/>
    <hyperlink r:id="rId3490" ref="A1746"/>
    <hyperlink r:id="rId3491" ref="B1746"/>
    <hyperlink r:id="rId3492" ref="A1747"/>
    <hyperlink r:id="rId3493" ref="B1747"/>
    <hyperlink r:id="rId3494" ref="A1748"/>
    <hyperlink r:id="rId3495" ref="B1748"/>
    <hyperlink r:id="rId3496" ref="A1749"/>
    <hyperlink r:id="rId3497" ref="B1749"/>
    <hyperlink r:id="rId3498" ref="A1750"/>
    <hyperlink r:id="rId3499" ref="B1750"/>
    <hyperlink r:id="rId3500" ref="A1751"/>
    <hyperlink r:id="rId3501" ref="B1751"/>
    <hyperlink r:id="rId3502" ref="A1752"/>
    <hyperlink r:id="rId3503" ref="B1752"/>
    <hyperlink r:id="rId3504" ref="A1753"/>
    <hyperlink r:id="rId3505" ref="B1753"/>
    <hyperlink r:id="rId3506" ref="A1754"/>
    <hyperlink r:id="rId3507" ref="B1754"/>
    <hyperlink r:id="rId3508" ref="A1755"/>
    <hyperlink r:id="rId3509" ref="B1755"/>
    <hyperlink r:id="rId3510" ref="A1756"/>
    <hyperlink r:id="rId3511" ref="B1756"/>
    <hyperlink r:id="rId3512" ref="A1757"/>
    <hyperlink r:id="rId3513" ref="B1757"/>
    <hyperlink r:id="rId3514" ref="A1758"/>
    <hyperlink r:id="rId3515" ref="B1758"/>
    <hyperlink r:id="rId3516" ref="A1759"/>
    <hyperlink r:id="rId3517" ref="B1759"/>
    <hyperlink r:id="rId3518" ref="A1760"/>
    <hyperlink r:id="rId3519" ref="B1760"/>
    <hyperlink r:id="rId3520" ref="A1761"/>
    <hyperlink r:id="rId3521" ref="B1761"/>
    <hyperlink r:id="rId3522" ref="A1762"/>
    <hyperlink r:id="rId3523" ref="B1762"/>
    <hyperlink r:id="rId3524" ref="A1763"/>
    <hyperlink r:id="rId3525" ref="B1763"/>
    <hyperlink r:id="rId3526" ref="A1764"/>
    <hyperlink r:id="rId3527" ref="B1764"/>
    <hyperlink r:id="rId3528" ref="A1765"/>
    <hyperlink r:id="rId3529" ref="B1765"/>
    <hyperlink r:id="rId3530" ref="A1766"/>
    <hyperlink r:id="rId3531" ref="B1766"/>
    <hyperlink r:id="rId3532" ref="A1767"/>
    <hyperlink r:id="rId3533" ref="B1767"/>
    <hyperlink r:id="rId3534" ref="A1768"/>
    <hyperlink r:id="rId3535" ref="B1768"/>
    <hyperlink r:id="rId3536" ref="A1769"/>
    <hyperlink r:id="rId3537" ref="B1769"/>
    <hyperlink r:id="rId3538" ref="A1770"/>
    <hyperlink r:id="rId3539" ref="B1770"/>
    <hyperlink r:id="rId3540" ref="A1771"/>
    <hyperlink r:id="rId3541" ref="B1771"/>
    <hyperlink r:id="rId3542" ref="A1772"/>
    <hyperlink r:id="rId3543" ref="B1772"/>
    <hyperlink r:id="rId3544" ref="A1773"/>
    <hyperlink r:id="rId3545" ref="B1773"/>
    <hyperlink r:id="rId3546" ref="A1774"/>
    <hyperlink r:id="rId3547" ref="B1774"/>
    <hyperlink r:id="rId3548" ref="A1775"/>
    <hyperlink r:id="rId3549" ref="B1775"/>
    <hyperlink r:id="rId3550" ref="A1776"/>
    <hyperlink r:id="rId3551" ref="B1776"/>
    <hyperlink r:id="rId3552" ref="A1777"/>
    <hyperlink r:id="rId3553" ref="B1777"/>
    <hyperlink r:id="rId3554" ref="A1778"/>
    <hyperlink r:id="rId3555" ref="B1778"/>
    <hyperlink r:id="rId3556" ref="A1779"/>
    <hyperlink r:id="rId3557" ref="B1779"/>
    <hyperlink r:id="rId3558" ref="A1780"/>
    <hyperlink r:id="rId3559" ref="B1780"/>
    <hyperlink r:id="rId3560" ref="A1781"/>
    <hyperlink r:id="rId3561" ref="B1781"/>
    <hyperlink r:id="rId3562" ref="A1782"/>
    <hyperlink r:id="rId3563" ref="B1782"/>
    <hyperlink r:id="rId3564" ref="A1783"/>
    <hyperlink r:id="rId3565" ref="B1783"/>
    <hyperlink r:id="rId3566" ref="A1784"/>
    <hyperlink r:id="rId3567" ref="B1784"/>
    <hyperlink r:id="rId3568" ref="A1785"/>
    <hyperlink r:id="rId3569" ref="B1785"/>
    <hyperlink r:id="rId3570" ref="A1786"/>
    <hyperlink r:id="rId3571" ref="B1786"/>
    <hyperlink r:id="rId3572" ref="A1787"/>
    <hyperlink r:id="rId3573" ref="B1787"/>
    <hyperlink r:id="rId3574" ref="A1788"/>
    <hyperlink r:id="rId3575" ref="B1788"/>
    <hyperlink r:id="rId3576" ref="A1789"/>
    <hyperlink r:id="rId3577" ref="B1789"/>
    <hyperlink r:id="rId3578" ref="A1790"/>
    <hyperlink r:id="rId3579" ref="B1790"/>
    <hyperlink r:id="rId3580" ref="A1791"/>
    <hyperlink r:id="rId3581" ref="B1791"/>
    <hyperlink r:id="rId3582" ref="A1792"/>
    <hyperlink r:id="rId3583" ref="B1792"/>
    <hyperlink r:id="rId3584" ref="A1793"/>
    <hyperlink r:id="rId3585" ref="B1793"/>
    <hyperlink r:id="rId3586" ref="A1794"/>
    <hyperlink r:id="rId3587" ref="B1794"/>
    <hyperlink r:id="rId3588" ref="A1795"/>
    <hyperlink r:id="rId3589" ref="B1795"/>
    <hyperlink r:id="rId3590" ref="A1796"/>
    <hyperlink r:id="rId3591" ref="B1796"/>
    <hyperlink r:id="rId3592" ref="A1797"/>
    <hyperlink r:id="rId3593" ref="B1797"/>
    <hyperlink r:id="rId3594" ref="A1798"/>
    <hyperlink r:id="rId3595" ref="B1798"/>
    <hyperlink r:id="rId3596" ref="A1799"/>
    <hyperlink r:id="rId3597" ref="B1799"/>
    <hyperlink r:id="rId3598" ref="A1800"/>
    <hyperlink r:id="rId3599" ref="B1800"/>
    <hyperlink r:id="rId3600" ref="A1801"/>
    <hyperlink r:id="rId3601" ref="B1801"/>
    <hyperlink r:id="rId3602" ref="A1802"/>
    <hyperlink r:id="rId3603" ref="B1802"/>
    <hyperlink r:id="rId3604" ref="A1803"/>
    <hyperlink r:id="rId3605" ref="B1803"/>
    <hyperlink r:id="rId3606" ref="A1804"/>
    <hyperlink r:id="rId3607" ref="B1804"/>
    <hyperlink r:id="rId3608" ref="A1805"/>
    <hyperlink r:id="rId3609" ref="B1805"/>
    <hyperlink r:id="rId3610" ref="A1806"/>
    <hyperlink r:id="rId3611" ref="B1806"/>
    <hyperlink r:id="rId3612" ref="A1807"/>
    <hyperlink r:id="rId3613" ref="B1807"/>
    <hyperlink r:id="rId3614" ref="A1808"/>
    <hyperlink r:id="rId3615" ref="B1808"/>
    <hyperlink r:id="rId3616" ref="A1809"/>
    <hyperlink r:id="rId3617" ref="B1809"/>
    <hyperlink r:id="rId3618" ref="A1810"/>
    <hyperlink r:id="rId3619" ref="B1810"/>
    <hyperlink r:id="rId3620" ref="A1811"/>
    <hyperlink r:id="rId3621" ref="B1811"/>
    <hyperlink r:id="rId3622" ref="A1812"/>
    <hyperlink r:id="rId3623" ref="B1812"/>
    <hyperlink r:id="rId3624" ref="A1813"/>
    <hyperlink r:id="rId3625" ref="B1813"/>
    <hyperlink r:id="rId3626" ref="A1814"/>
    <hyperlink r:id="rId3627" ref="B1814"/>
    <hyperlink r:id="rId3628" ref="A1815"/>
    <hyperlink r:id="rId3629" ref="B1815"/>
    <hyperlink r:id="rId3630" ref="A1816"/>
    <hyperlink r:id="rId3631" ref="B1816"/>
    <hyperlink r:id="rId3632" ref="A1817"/>
    <hyperlink r:id="rId3633" ref="B1817"/>
    <hyperlink r:id="rId3634" ref="A1818"/>
    <hyperlink r:id="rId3635" ref="B1818"/>
    <hyperlink r:id="rId3636" ref="A1819"/>
    <hyperlink r:id="rId3637" ref="B1819"/>
    <hyperlink r:id="rId3638" ref="A1820"/>
    <hyperlink r:id="rId3639" ref="B1820"/>
    <hyperlink r:id="rId3640" ref="A1821"/>
    <hyperlink r:id="rId3641" ref="B1821"/>
    <hyperlink r:id="rId3642" ref="A1822"/>
    <hyperlink r:id="rId3643" ref="B1822"/>
    <hyperlink r:id="rId3644" ref="A1823"/>
    <hyperlink r:id="rId3645" ref="B1823"/>
    <hyperlink r:id="rId3646" ref="A1824"/>
    <hyperlink r:id="rId3647" ref="B1824"/>
    <hyperlink r:id="rId3648" ref="A1825"/>
    <hyperlink r:id="rId3649" ref="B1825"/>
    <hyperlink r:id="rId3650" ref="A1826"/>
    <hyperlink r:id="rId3651" ref="B1826"/>
    <hyperlink r:id="rId3652" ref="A1827"/>
    <hyperlink r:id="rId3653" ref="B1827"/>
    <hyperlink r:id="rId3654" ref="A1828"/>
    <hyperlink r:id="rId3655" ref="B1828"/>
    <hyperlink r:id="rId3656" ref="A1829"/>
    <hyperlink r:id="rId3657" ref="B1829"/>
    <hyperlink r:id="rId3658" ref="A1830"/>
    <hyperlink r:id="rId3659" ref="B1830"/>
    <hyperlink r:id="rId3660" ref="A1831"/>
    <hyperlink r:id="rId3661" ref="B1831"/>
    <hyperlink r:id="rId3662" ref="A1832"/>
    <hyperlink r:id="rId3663" ref="B1832"/>
    <hyperlink r:id="rId3664" ref="A1833"/>
    <hyperlink r:id="rId3665" ref="B1833"/>
    <hyperlink r:id="rId3666" ref="A1834"/>
    <hyperlink r:id="rId3667" ref="B1834"/>
    <hyperlink r:id="rId3668" ref="A1835"/>
    <hyperlink r:id="rId3669" ref="B1835"/>
    <hyperlink r:id="rId3670" ref="A1836"/>
    <hyperlink r:id="rId3671" ref="B1836"/>
    <hyperlink r:id="rId3672" ref="A1837"/>
    <hyperlink r:id="rId3673" ref="B1837"/>
    <hyperlink r:id="rId3674" ref="A1838"/>
    <hyperlink r:id="rId3675" ref="B1838"/>
    <hyperlink r:id="rId3676" ref="A1839"/>
    <hyperlink r:id="rId3677" ref="B1839"/>
    <hyperlink r:id="rId3678" ref="A1840"/>
    <hyperlink r:id="rId3679" ref="B1840"/>
    <hyperlink r:id="rId3680" ref="A1841"/>
    <hyperlink r:id="rId3681" ref="B1841"/>
    <hyperlink r:id="rId3682" ref="A1842"/>
    <hyperlink r:id="rId3683" ref="B1842"/>
    <hyperlink r:id="rId3684" ref="A1843"/>
    <hyperlink r:id="rId3685" ref="B1843"/>
    <hyperlink r:id="rId3686" ref="A1844"/>
    <hyperlink r:id="rId3687" ref="B1844"/>
    <hyperlink r:id="rId3688" ref="A1845"/>
    <hyperlink r:id="rId3689" ref="B1845"/>
    <hyperlink r:id="rId3690" ref="A1846"/>
    <hyperlink r:id="rId3691" ref="B1846"/>
    <hyperlink r:id="rId3692" ref="A1847"/>
    <hyperlink r:id="rId3693" ref="B1847"/>
    <hyperlink r:id="rId3694" ref="A1848"/>
    <hyperlink r:id="rId3695" ref="B1848"/>
    <hyperlink r:id="rId3696" ref="A1849"/>
    <hyperlink r:id="rId3697" ref="B1849"/>
    <hyperlink r:id="rId3698" ref="A1850"/>
    <hyperlink r:id="rId3699" ref="B1850"/>
    <hyperlink r:id="rId3700" ref="A1851"/>
    <hyperlink r:id="rId3701" ref="B1851"/>
    <hyperlink r:id="rId3702" ref="A1852"/>
    <hyperlink r:id="rId3703" ref="B1852"/>
    <hyperlink r:id="rId3704" ref="A1853"/>
    <hyperlink r:id="rId3705" ref="B1853"/>
    <hyperlink r:id="rId3706" ref="A1854"/>
    <hyperlink r:id="rId3707" ref="B1854"/>
    <hyperlink r:id="rId3708" ref="A1855"/>
    <hyperlink r:id="rId3709" ref="B1855"/>
    <hyperlink r:id="rId3710" ref="A1856"/>
    <hyperlink r:id="rId3711" ref="B1856"/>
    <hyperlink r:id="rId3712" ref="A1857"/>
    <hyperlink r:id="rId3713" ref="B1857"/>
    <hyperlink r:id="rId3714" ref="A1858"/>
    <hyperlink r:id="rId3715" ref="B1858"/>
    <hyperlink r:id="rId3716" ref="A1859"/>
    <hyperlink r:id="rId3717" ref="B1859"/>
    <hyperlink r:id="rId3718" ref="A1860"/>
    <hyperlink r:id="rId3719" ref="B1860"/>
    <hyperlink r:id="rId3720" ref="A1861"/>
    <hyperlink r:id="rId3721" ref="B1861"/>
    <hyperlink r:id="rId3722" ref="A1862"/>
    <hyperlink r:id="rId3723" ref="B1862"/>
    <hyperlink r:id="rId3724" ref="A1863"/>
    <hyperlink r:id="rId3725" ref="B1863"/>
    <hyperlink r:id="rId3726" ref="A1864"/>
    <hyperlink r:id="rId3727" ref="B1864"/>
    <hyperlink r:id="rId3728" ref="A1865"/>
    <hyperlink r:id="rId3729" ref="B1865"/>
    <hyperlink r:id="rId3730" ref="A1866"/>
    <hyperlink r:id="rId3731" ref="B1866"/>
    <hyperlink r:id="rId3732" ref="A1867"/>
    <hyperlink r:id="rId3733" ref="B1867"/>
    <hyperlink r:id="rId3734" ref="A1868"/>
    <hyperlink r:id="rId3735" ref="B1868"/>
    <hyperlink r:id="rId3736" ref="A1869"/>
    <hyperlink r:id="rId3737" ref="B1869"/>
    <hyperlink r:id="rId3738" ref="A1870"/>
    <hyperlink r:id="rId3739" ref="B1870"/>
    <hyperlink r:id="rId3740" ref="A1871"/>
    <hyperlink r:id="rId3741" ref="B1871"/>
    <hyperlink r:id="rId3742" ref="A1872"/>
    <hyperlink r:id="rId3743" ref="B1872"/>
    <hyperlink r:id="rId3744" ref="A1873"/>
    <hyperlink r:id="rId3745" ref="B1873"/>
    <hyperlink r:id="rId3746" ref="A1874"/>
    <hyperlink r:id="rId3747" ref="B1874"/>
    <hyperlink r:id="rId3748" ref="A1875"/>
    <hyperlink r:id="rId3749" ref="B1875"/>
    <hyperlink r:id="rId3750" ref="A1876"/>
    <hyperlink r:id="rId3751" ref="B1876"/>
    <hyperlink r:id="rId3752" ref="A1877"/>
    <hyperlink r:id="rId3753" ref="B1877"/>
    <hyperlink r:id="rId3754" ref="A1878"/>
    <hyperlink r:id="rId3755" ref="B1878"/>
    <hyperlink r:id="rId3756" ref="A1879"/>
    <hyperlink r:id="rId3757" ref="B1879"/>
    <hyperlink r:id="rId3758" ref="A1880"/>
    <hyperlink r:id="rId3759" ref="B1880"/>
    <hyperlink r:id="rId3760" ref="A1881"/>
    <hyperlink r:id="rId3761" ref="B1881"/>
    <hyperlink r:id="rId3762" ref="A1882"/>
    <hyperlink r:id="rId3763" ref="B1882"/>
    <hyperlink r:id="rId3764" ref="A1883"/>
    <hyperlink r:id="rId3765" ref="B1883"/>
    <hyperlink r:id="rId3766" ref="A1884"/>
    <hyperlink r:id="rId3767" ref="B1884"/>
    <hyperlink r:id="rId3768" ref="A1885"/>
    <hyperlink r:id="rId3769" ref="B1885"/>
    <hyperlink r:id="rId3770" ref="A1886"/>
    <hyperlink r:id="rId3771" ref="B1886"/>
    <hyperlink r:id="rId3772" ref="A1887"/>
    <hyperlink r:id="rId3773" ref="B1887"/>
    <hyperlink r:id="rId3774" ref="A1888"/>
    <hyperlink r:id="rId3775" ref="B1888"/>
    <hyperlink r:id="rId3776" ref="A1889"/>
    <hyperlink r:id="rId3777" ref="B1889"/>
    <hyperlink r:id="rId3778" ref="A1890"/>
    <hyperlink r:id="rId3779" ref="B1890"/>
    <hyperlink r:id="rId3780" ref="A1891"/>
    <hyperlink r:id="rId3781" ref="B1891"/>
    <hyperlink r:id="rId3782" ref="A1892"/>
    <hyperlink r:id="rId3783" ref="B1892"/>
    <hyperlink r:id="rId3784" ref="A1893"/>
    <hyperlink r:id="rId3785" ref="B1893"/>
    <hyperlink r:id="rId3786" ref="A1894"/>
    <hyperlink r:id="rId3787" ref="B1894"/>
    <hyperlink r:id="rId3788" ref="A1895"/>
    <hyperlink r:id="rId3789" ref="B1895"/>
    <hyperlink r:id="rId3790" ref="A1896"/>
    <hyperlink r:id="rId3791" ref="B1896"/>
    <hyperlink r:id="rId3792" ref="A1897"/>
    <hyperlink r:id="rId3793" ref="B1897"/>
    <hyperlink r:id="rId3794" ref="A1898"/>
    <hyperlink r:id="rId3795" ref="B1898"/>
    <hyperlink r:id="rId3796" ref="A1899"/>
    <hyperlink r:id="rId3797" ref="B1899"/>
    <hyperlink r:id="rId3798" ref="A1900"/>
    <hyperlink r:id="rId3799" ref="B1900"/>
    <hyperlink r:id="rId3800" ref="A1901"/>
    <hyperlink r:id="rId3801" ref="B1901"/>
    <hyperlink r:id="rId3802" ref="A1902"/>
    <hyperlink r:id="rId3803" ref="B1902"/>
    <hyperlink r:id="rId3804" ref="A1903"/>
    <hyperlink r:id="rId3805" ref="B1903"/>
    <hyperlink r:id="rId3806" ref="A1904"/>
    <hyperlink r:id="rId3807" ref="B1904"/>
    <hyperlink r:id="rId3808" ref="A1905"/>
    <hyperlink r:id="rId3809" ref="B1905"/>
    <hyperlink r:id="rId3810" ref="A1906"/>
    <hyperlink r:id="rId3811" ref="B1906"/>
    <hyperlink r:id="rId3812" ref="A1907"/>
    <hyperlink r:id="rId3813" ref="B1907"/>
    <hyperlink r:id="rId3814" ref="A1908"/>
    <hyperlink r:id="rId3815" ref="B1908"/>
    <hyperlink r:id="rId3816" ref="A1909"/>
    <hyperlink r:id="rId3817" ref="B1909"/>
    <hyperlink r:id="rId3818" ref="A1910"/>
    <hyperlink r:id="rId3819" ref="B1910"/>
    <hyperlink r:id="rId3820" ref="A1911"/>
    <hyperlink r:id="rId3821" ref="B1911"/>
    <hyperlink r:id="rId3822" ref="A1912"/>
    <hyperlink r:id="rId3823" ref="B1912"/>
    <hyperlink r:id="rId3824" ref="A1913"/>
    <hyperlink r:id="rId3825" ref="B1913"/>
    <hyperlink r:id="rId3826" ref="A1914"/>
    <hyperlink r:id="rId3827" ref="B1914"/>
    <hyperlink r:id="rId3828" ref="A1915"/>
    <hyperlink r:id="rId3829" ref="B1915"/>
    <hyperlink r:id="rId3830" ref="A1916"/>
    <hyperlink r:id="rId3831" ref="B1916"/>
    <hyperlink r:id="rId3832" ref="A1917"/>
    <hyperlink r:id="rId3833" ref="B1917"/>
    <hyperlink r:id="rId3834" ref="A1918"/>
    <hyperlink r:id="rId3835" ref="B1918"/>
    <hyperlink r:id="rId3836" ref="A1919"/>
    <hyperlink r:id="rId3837" ref="B1919"/>
    <hyperlink r:id="rId3838" ref="A1920"/>
    <hyperlink r:id="rId3839" ref="B1920"/>
    <hyperlink r:id="rId3840" ref="A1921"/>
    <hyperlink r:id="rId3841" ref="B1921"/>
    <hyperlink r:id="rId3842" ref="A1922"/>
    <hyperlink r:id="rId3843" ref="B1922"/>
    <hyperlink r:id="rId3844" ref="A1923"/>
    <hyperlink r:id="rId3845" ref="B1923"/>
    <hyperlink r:id="rId3846" ref="A1924"/>
    <hyperlink r:id="rId3847" ref="B1924"/>
    <hyperlink r:id="rId3848" ref="A1925"/>
    <hyperlink r:id="rId3849" ref="B1925"/>
    <hyperlink r:id="rId3850" ref="A1926"/>
    <hyperlink r:id="rId3851" ref="B1926"/>
    <hyperlink r:id="rId3852" ref="A1927"/>
    <hyperlink r:id="rId3853" ref="B1927"/>
    <hyperlink r:id="rId3854" ref="A1928"/>
    <hyperlink r:id="rId3855" ref="B1928"/>
    <hyperlink r:id="rId3856" ref="A1929"/>
    <hyperlink r:id="rId3857" ref="B1929"/>
    <hyperlink r:id="rId3858" ref="A1930"/>
    <hyperlink r:id="rId3859" ref="B1930"/>
    <hyperlink r:id="rId3860" ref="A1931"/>
    <hyperlink r:id="rId3861" ref="B1931"/>
    <hyperlink r:id="rId3862" ref="A1932"/>
    <hyperlink r:id="rId3863" ref="B1932"/>
    <hyperlink r:id="rId3864" ref="A1933"/>
    <hyperlink r:id="rId3865" ref="B1933"/>
    <hyperlink r:id="rId3866" ref="A1934"/>
    <hyperlink r:id="rId3867" ref="B1934"/>
    <hyperlink r:id="rId3868" ref="A1935"/>
    <hyperlink r:id="rId3869" ref="B1935"/>
    <hyperlink r:id="rId3870" ref="A1936"/>
    <hyperlink r:id="rId3871" ref="B1936"/>
    <hyperlink r:id="rId3872" ref="A1937"/>
    <hyperlink r:id="rId3873" ref="B1937"/>
    <hyperlink r:id="rId3874" ref="A1938"/>
    <hyperlink r:id="rId3875" ref="B1938"/>
    <hyperlink r:id="rId3876" ref="A1939"/>
    <hyperlink r:id="rId3877" ref="B1939"/>
    <hyperlink r:id="rId3878" ref="A1940"/>
    <hyperlink r:id="rId3879" ref="B1940"/>
    <hyperlink r:id="rId3880" ref="A1941"/>
    <hyperlink r:id="rId3881" ref="B1941"/>
    <hyperlink r:id="rId3882" ref="A1942"/>
    <hyperlink r:id="rId3883" ref="B1942"/>
    <hyperlink r:id="rId3884" ref="A1943"/>
    <hyperlink r:id="rId3885" ref="B1943"/>
    <hyperlink r:id="rId3886" ref="A1944"/>
    <hyperlink r:id="rId3887" ref="B1944"/>
    <hyperlink r:id="rId3888" ref="A1945"/>
    <hyperlink r:id="rId3889" ref="B1945"/>
    <hyperlink r:id="rId3890" ref="A1946"/>
    <hyperlink r:id="rId3891" ref="B1946"/>
    <hyperlink r:id="rId3892" ref="A1947"/>
    <hyperlink r:id="rId3893" ref="B1947"/>
    <hyperlink r:id="rId3894" ref="A1948"/>
    <hyperlink r:id="rId3895" ref="B1948"/>
    <hyperlink r:id="rId3896" ref="A1949"/>
    <hyperlink r:id="rId3897" ref="B1949"/>
    <hyperlink r:id="rId3898" ref="A1950"/>
    <hyperlink r:id="rId3899" ref="B1950"/>
    <hyperlink r:id="rId3900" ref="A1951"/>
    <hyperlink r:id="rId3901" ref="B1951"/>
    <hyperlink r:id="rId3902" ref="A1952"/>
    <hyperlink r:id="rId3903" ref="B1952"/>
    <hyperlink r:id="rId3904" ref="A1953"/>
    <hyperlink r:id="rId3905" ref="B1953"/>
    <hyperlink r:id="rId3906" ref="A1954"/>
    <hyperlink r:id="rId3907" ref="B1954"/>
    <hyperlink r:id="rId3908" ref="A1955"/>
    <hyperlink r:id="rId3909" ref="B1955"/>
    <hyperlink r:id="rId3910" ref="A1956"/>
    <hyperlink r:id="rId3911" ref="B1956"/>
    <hyperlink r:id="rId3912" ref="A1957"/>
    <hyperlink r:id="rId3913" ref="B1957"/>
    <hyperlink r:id="rId3914" ref="A1958"/>
    <hyperlink r:id="rId3915" ref="B1958"/>
    <hyperlink r:id="rId3916" ref="A1959"/>
    <hyperlink r:id="rId3917" ref="B1959"/>
    <hyperlink r:id="rId3918" ref="A1960"/>
    <hyperlink r:id="rId3919" ref="B1960"/>
    <hyperlink r:id="rId3920" ref="A1961"/>
    <hyperlink r:id="rId3921" ref="B1961"/>
    <hyperlink r:id="rId3922" ref="A1962"/>
    <hyperlink r:id="rId3923" ref="B1962"/>
    <hyperlink r:id="rId3924" ref="A1963"/>
    <hyperlink r:id="rId3925" ref="B1963"/>
    <hyperlink r:id="rId3926" ref="A1964"/>
    <hyperlink r:id="rId3927" ref="B1964"/>
    <hyperlink r:id="rId3928" ref="A1965"/>
    <hyperlink r:id="rId3929" ref="B1965"/>
    <hyperlink r:id="rId3930" ref="A1966"/>
    <hyperlink r:id="rId3931" ref="B1966"/>
    <hyperlink r:id="rId3932" ref="A1967"/>
    <hyperlink r:id="rId3933" ref="B1967"/>
    <hyperlink r:id="rId3934" ref="A1968"/>
    <hyperlink r:id="rId3935" ref="B1968"/>
    <hyperlink r:id="rId3936" ref="A1969"/>
    <hyperlink r:id="rId3937" ref="B1969"/>
    <hyperlink r:id="rId3938" ref="A1970"/>
    <hyperlink r:id="rId3939" ref="B1970"/>
    <hyperlink r:id="rId3940" ref="A1971"/>
    <hyperlink r:id="rId3941" ref="B1971"/>
    <hyperlink r:id="rId3942" ref="A1972"/>
    <hyperlink r:id="rId3943" ref="B1972"/>
    <hyperlink r:id="rId3944" ref="A1973"/>
    <hyperlink r:id="rId3945" ref="B1973"/>
    <hyperlink r:id="rId3946" ref="A1974"/>
    <hyperlink r:id="rId3947" ref="B1974"/>
    <hyperlink r:id="rId3948" ref="A1975"/>
    <hyperlink r:id="rId3949" ref="B1975"/>
    <hyperlink r:id="rId3950" ref="A1976"/>
    <hyperlink r:id="rId3951" ref="B1976"/>
    <hyperlink r:id="rId3952" ref="A1977"/>
    <hyperlink r:id="rId3953" ref="B1977"/>
    <hyperlink r:id="rId3954" ref="A1978"/>
    <hyperlink r:id="rId3955" ref="B1978"/>
    <hyperlink r:id="rId3956" ref="A1979"/>
    <hyperlink r:id="rId3957" ref="B1979"/>
    <hyperlink r:id="rId3958" ref="A1980"/>
    <hyperlink r:id="rId3959" ref="B1980"/>
    <hyperlink r:id="rId3960" ref="A1981"/>
    <hyperlink r:id="rId3961" ref="B1981"/>
    <hyperlink r:id="rId3962" ref="A1982"/>
    <hyperlink r:id="rId3963" ref="B1982"/>
    <hyperlink r:id="rId3964" ref="A1983"/>
    <hyperlink r:id="rId3965" ref="B1983"/>
    <hyperlink r:id="rId3966" ref="A1984"/>
    <hyperlink r:id="rId3967" ref="B1984"/>
    <hyperlink r:id="rId3968" ref="A1985"/>
    <hyperlink r:id="rId3969" ref="B1985"/>
    <hyperlink r:id="rId3970" ref="A1986"/>
    <hyperlink r:id="rId3971" ref="B1986"/>
    <hyperlink r:id="rId3972" ref="A1987"/>
    <hyperlink r:id="rId3973" ref="B1987"/>
    <hyperlink r:id="rId3974" ref="A1988"/>
    <hyperlink r:id="rId3975" ref="B1988"/>
    <hyperlink r:id="rId3976" ref="A1989"/>
    <hyperlink r:id="rId3977" ref="B1989"/>
    <hyperlink r:id="rId3978" ref="A1990"/>
    <hyperlink r:id="rId3979" ref="B1990"/>
    <hyperlink r:id="rId3980" ref="A1991"/>
    <hyperlink r:id="rId3981" ref="B1991"/>
    <hyperlink r:id="rId3982" ref="A1992"/>
    <hyperlink r:id="rId3983" ref="B1992"/>
    <hyperlink r:id="rId3984" ref="A1993"/>
    <hyperlink r:id="rId3985" ref="B1993"/>
    <hyperlink r:id="rId3986" ref="A1994"/>
    <hyperlink r:id="rId3987" ref="B1994"/>
    <hyperlink r:id="rId3988" ref="A1995"/>
    <hyperlink r:id="rId3989" ref="B1995"/>
    <hyperlink r:id="rId3990" ref="A1996"/>
    <hyperlink r:id="rId3991" ref="B1996"/>
    <hyperlink r:id="rId3992" ref="A1997"/>
    <hyperlink r:id="rId3993" ref="B1997"/>
    <hyperlink r:id="rId3994" ref="A1998"/>
    <hyperlink r:id="rId3995" ref="B1998"/>
    <hyperlink r:id="rId3996" ref="A1999"/>
    <hyperlink r:id="rId3997" ref="B1999"/>
    <hyperlink r:id="rId3998" ref="A2000"/>
    <hyperlink r:id="rId3999" ref="B2000"/>
    <hyperlink r:id="rId4000" ref="A2001"/>
    <hyperlink r:id="rId4001" ref="B2001"/>
    <hyperlink r:id="rId4002" ref="A2002"/>
    <hyperlink r:id="rId4003" ref="B2002"/>
    <hyperlink r:id="rId4004" ref="A2003"/>
    <hyperlink r:id="rId4005" ref="B2003"/>
    <hyperlink r:id="rId4006" ref="A2004"/>
    <hyperlink r:id="rId4007" ref="B2004"/>
    <hyperlink r:id="rId4008" ref="A2005"/>
    <hyperlink r:id="rId4009" ref="B2005"/>
    <hyperlink r:id="rId4010" ref="A2006"/>
    <hyperlink r:id="rId4011" ref="B2006"/>
    <hyperlink r:id="rId4012" ref="A2007"/>
    <hyperlink r:id="rId4013" ref="B2007"/>
    <hyperlink r:id="rId4014" ref="A2008"/>
    <hyperlink r:id="rId4015" ref="B2008"/>
    <hyperlink r:id="rId4016" ref="A2009"/>
    <hyperlink r:id="rId4017" ref="B2009"/>
    <hyperlink r:id="rId4018" ref="A2010"/>
    <hyperlink r:id="rId4019" ref="B2010"/>
    <hyperlink r:id="rId4020" ref="A2011"/>
    <hyperlink r:id="rId4021" ref="B2011"/>
    <hyperlink r:id="rId4022" ref="A2012"/>
    <hyperlink r:id="rId4023" ref="B2012"/>
    <hyperlink r:id="rId4024" ref="A2013"/>
    <hyperlink r:id="rId4025" ref="B2013"/>
    <hyperlink r:id="rId4026" ref="A2014"/>
    <hyperlink r:id="rId4027" ref="B2014"/>
    <hyperlink r:id="rId4028" ref="A2015"/>
    <hyperlink r:id="rId4029" ref="B2015"/>
    <hyperlink r:id="rId4030" ref="A2016"/>
    <hyperlink r:id="rId4031" ref="B2016"/>
    <hyperlink r:id="rId4032" ref="A2017"/>
    <hyperlink r:id="rId4033" ref="B2017"/>
    <hyperlink r:id="rId4034" ref="A2018"/>
    <hyperlink r:id="rId4035" ref="B2018"/>
    <hyperlink r:id="rId4036" ref="A2019"/>
    <hyperlink r:id="rId4037" ref="B2019"/>
    <hyperlink r:id="rId4038" ref="A2020"/>
    <hyperlink r:id="rId4039" ref="B2020"/>
    <hyperlink r:id="rId4040" ref="A2021"/>
    <hyperlink r:id="rId4041" ref="B2021"/>
    <hyperlink r:id="rId4042" ref="A2022"/>
    <hyperlink r:id="rId4043" ref="B2022"/>
    <hyperlink r:id="rId4044" ref="A2023"/>
    <hyperlink r:id="rId4045" ref="B2023"/>
    <hyperlink r:id="rId4046" ref="A2024"/>
    <hyperlink r:id="rId4047" ref="B2024"/>
    <hyperlink r:id="rId4048" ref="A2025"/>
    <hyperlink r:id="rId4049" ref="B2025"/>
    <hyperlink r:id="rId4050" ref="A2026"/>
    <hyperlink r:id="rId4051" ref="B2026"/>
    <hyperlink r:id="rId4052" ref="A2027"/>
    <hyperlink r:id="rId4053" ref="B2027"/>
    <hyperlink r:id="rId4054" ref="A2028"/>
    <hyperlink r:id="rId4055" ref="B2028"/>
    <hyperlink r:id="rId4056" ref="A2029"/>
    <hyperlink r:id="rId4057" ref="B2029"/>
    <hyperlink r:id="rId4058" ref="A2030"/>
    <hyperlink r:id="rId4059" ref="B2030"/>
    <hyperlink r:id="rId4060" ref="A2031"/>
    <hyperlink r:id="rId4061" ref="B2031"/>
    <hyperlink r:id="rId4062" ref="A2032"/>
    <hyperlink r:id="rId4063" ref="B2032"/>
    <hyperlink r:id="rId4064" ref="A2033"/>
    <hyperlink r:id="rId4065" ref="B2033"/>
    <hyperlink r:id="rId4066" ref="A2034"/>
    <hyperlink r:id="rId4067" ref="B2034"/>
    <hyperlink r:id="rId4068" ref="A2035"/>
    <hyperlink r:id="rId4069" ref="B2035"/>
    <hyperlink r:id="rId4070" ref="A2036"/>
    <hyperlink r:id="rId4071" ref="B2036"/>
    <hyperlink r:id="rId4072" ref="A2037"/>
    <hyperlink r:id="rId4073" ref="B2037"/>
    <hyperlink r:id="rId4074" ref="A2038"/>
    <hyperlink r:id="rId4075" ref="B2038"/>
    <hyperlink r:id="rId4076" ref="A2039"/>
    <hyperlink r:id="rId4077" ref="B2039"/>
    <hyperlink r:id="rId4078" ref="A2040"/>
    <hyperlink r:id="rId4079" ref="B2040"/>
    <hyperlink r:id="rId4080" ref="A2041"/>
    <hyperlink r:id="rId4081" ref="B2041"/>
    <hyperlink r:id="rId4082" ref="A2042"/>
    <hyperlink r:id="rId4083" ref="B2042"/>
    <hyperlink r:id="rId4084" ref="A2043"/>
    <hyperlink r:id="rId4085" ref="B2043"/>
    <hyperlink r:id="rId4086" ref="A2044"/>
    <hyperlink r:id="rId4087" ref="B2044"/>
    <hyperlink r:id="rId4088" ref="A2045"/>
    <hyperlink r:id="rId4089" ref="B2045"/>
    <hyperlink r:id="rId4090" ref="A2046"/>
    <hyperlink r:id="rId4091" ref="B2046"/>
    <hyperlink r:id="rId4092" ref="A2047"/>
    <hyperlink r:id="rId4093" ref="B2047"/>
    <hyperlink r:id="rId4094" ref="A2048"/>
    <hyperlink r:id="rId4095" ref="B2048"/>
    <hyperlink r:id="rId4096" ref="A2049"/>
    <hyperlink r:id="rId4097" ref="B2049"/>
    <hyperlink r:id="rId4098" ref="A2050"/>
    <hyperlink r:id="rId4099" ref="B2050"/>
    <hyperlink r:id="rId4100" ref="A2051"/>
    <hyperlink r:id="rId4101" ref="B2051"/>
    <hyperlink r:id="rId4102" ref="A2052"/>
    <hyperlink r:id="rId4103" ref="B2052"/>
    <hyperlink r:id="rId4104" ref="A2053"/>
    <hyperlink r:id="rId4105" ref="B2053"/>
    <hyperlink r:id="rId4106" ref="A2054"/>
    <hyperlink r:id="rId4107" ref="B2054"/>
    <hyperlink r:id="rId4108" ref="A2055"/>
    <hyperlink r:id="rId4109" ref="B2055"/>
    <hyperlink r:id="rId4110" ref="A2056"/>
    <hyperlink r:id="rId4111" ref="B2056"/>
    <hyperlink r:id="rId4112" ref="A2057"/>
    <hyperlink r:id="rId4113" ref="B2057"/>
    <hyperlink r:id="rId4114" ref="A2058"/>
    <hyperlink r:id="rId4115" ref="B2058"/>
    <hyperlink r:id="rId4116" ref="A2059"/>
    <hyperlink r:id="rId4117" ref="B2059"/>
    <hyperlink r:id="rId4118" ref="A2060"/>
    <hyperlink r:id="rId4119" ref="B2060"/>
    <hyperlink r:id="rId4120" ref="A2061"/>
    <hyperlink r:id="rId4121" ref="B2061"/>
    <hyperlink r:id="rId4122" ref="A2062"/>
    <hyperlink r:id="rId4123" ref="B2062"/>
    <hyperlink r:id="rId4124" ref="A2063"/>
    <hyperlink r:id="rId4125" ref="B2063"/>
    <hyperlink r:id="rId4126" ref="A2064"/>
    <hyperlink r:id="rId4127" ref="B2064"/>
    <hyperlink r:id="rId4128" ref="A2065"/>
    <hyperlink r:id="rId4129" ref="B2065"/>
    <hyperlink r:id="rId4130" ref="A2066"/>
    <hyperlink r:id="rId4131" ref="B2066"/>
    <hyperlink r:id="rId4132" ref="A2067"/>
    <hyperlink r:id="rId4133" ref="B2067"/>
    <hyperlink r:id="rId4134" ref="A2068"/>
    <hyperlink r:id="rId4135" ref="B2068"/>
    <hyperlink r:id="rId4136" ref="A2069"/>
    <hyperlink r:id="rId4137" ref="B2069"/>
    <hyperlink r:id="rId4138" ref="A2070"/>
    <hyperlink r:id="rId4139" ref="B2070"/>
    <hyperlink r:id="rId4140" ref="A2071"/>
    <hyperlink r:id="rId4141" ref="B2071"/>
    <hyperlink r:id="rId4142" ref="A2072"/>
    <hyperlink r:id="rId4143" ref="B2072"/>
    <hyperlink r:id="rId4144" ref="A2073"/>
    <hyperlink r:id="rId4145" ref="B2073"/>
    <hyperlink r:id="rId4146" ref="A2074"/>
    <hyperlink r:id="rId4147" ref="B2074"/>
    <hyperlink r:id="rId4148" ref="A2075"/>
    <hyperlink r:id="rId4149" ref="B2075"/>
    <hyperlink r:id="rId4150" ref="A2076"/>
    <hyperlink r:id="rId4151" ref="B2076"/>
    <hyperlink r:id="rId4152" ref="A2077"/>
    <hyperlink r:id="rId4153" ref="B2077"/>
    <hyperlink r:id="rId4154" ref="A2078"/>
    <hyperlink r:id="rId4155" ref="B2078"/>
    <hyperlink r:id="rId4156" ref="A2079"/>
    <hyperlink r:id="rId4157" ref="B2079"/>
    <hyperlink r:id="rId4158" ref="A2080"/>
    <hyperlink r:id="rId4159" ref="B2080"/>
    <hyperlink r:id="rId4160" ref="A2081"/>
    <hyperlink r:id="rId4161" ref="B2081"/>
    <hyperlink r:id="rId4162" ref="A2082"/>
    <hyperlink r:id="rId4163" ref="B2082"/>
    <hyperlink r:id="rId4164" ref="A2083"/>
    <hyperlink r:id="rId4165" ref="B2083"/>
    <hyperlink r:id="rId4166" ref="A2084"/>
    <hyperlink r:id="rId4167" ref="B2084"/>
    <hyperlink r:id="rId4168" ref="A2085"/>
    <hyperlink r:id="rId4169" ref="B2085"/>
    <hyperlink r:id="rId4170" ref="A2086"/>
    <hyperlink r:id="rId4171" ref="B2086"/>
    <hyperlink r:id="rId4172" ref="A2087"/>
    <hyperlink r:id="rId4173" ref="B2087"/>
    <hyperlink r:id="rId4174" ref="A2088"/>
    <hyperlink r:id="rId4175" ref="B2088"/>
    <hyperlink r:id="rId4176" ref="A2089"/>
    <hyperlink r:id="rId4177" ref="B2089"/>
    <hyperlink r:id="rId4178" ref="A2090"/>
    <hyperlink r:id="rId4179" ref="B2090"/>
    <hyperlink r:id="rId4180" ref="A2091"/>
    <hyperlink r:id="rId4181" ref="B2091"/>
    <hyperlink r:id="rId4182" ref="A2092"/>
    <hyperlink r:id="rId4183" ref="B2092"/>
    <hyperlink r:id="rId4184" ref="A2093"/>
    <hyperlink r:id="rId4185" ref="B2093"/>
    <hyperlink r:id="rId4186" ref="A2094"/>
    <hyperlink r:id="rId4187" ref="B2094"/>
    <hyperlink r:id="rId4188" ref="A2095"/>
    <hyperlink r:id="rId4189" ref="B2095"/>
    <hyperlink r:id="rId4190" ref="A2096"/>
    <hyperlink r:id="rId4191" ref="B2096"/>
    <hyperlink r:id="rId4192" ref="A2097"/>
    <hyperlink r:id="rId4193" ref="B2097"/>
    <hyperlink r:id="rId4194" ref="A2098"/>
    <hyperlink r:id="rId4195" ref="B2098"/>
    <hyperlink r:id="rId4196" ref="A2099"/>
    <hyperlink r:id="rId4197" ref="B2099"/>
    <hyperlink r:id="rId4198" ref="A2100"/>
    <hyperlink r:id="rId4199" ref="B2100"/>
    <hyperlink r:id="rId4200" ref="A2101"/>
    <hyperlink r:id="rId4201" ref="B2101"/>
    <hyperlink r:id="rId4202" ref="A2102"/>
    <hyperlink r:id="rId4203" ref="B2102"/>
    <hyperlink r:id="rId4204" ref="A2103"/>
    <hyperlink r:id="rId4205" ref="B2103"/>
    <hyperlink r:id="rId4206" ref="A2104"/>
    <hyperlink r:id="rId4207" ref="B2104"/>
    <hyperlink r:id="rId4208" ref="A2105"/>
    <hyperlink r:id="rId4209" ref="B2105"/>
    <hyperlink r:id="rId4210" ref="A2106"/>
    <hyperlink r:id="rId4211" ref="B2106"/>
    <hyperlink r:id="rId4212" ref="A2107"/>
    <hyperlink r:id="rId4213" ref="B2107"/>
    <hyperlink r:id="rId4214" ref="A2108"/>
    <hyperlink r:id="rId4215" ref="B2108"/>
    <hyperlink r:id="rId4216" ref="A2109"/>
    <hyperlink r:id="rId4217" ref="B2109"/>
    <hyperlink r:id="rId4218" ref="A2110"/>
    <hyperlink r:id="rId4219" ref="B2110"/>
    <hyperlink r:id="rId4220" ref="A2111"/>
    <hyperlink r:id="rId4221" ref="B2111"/>
    <hyperlink r:id="rId4222" ref="A2112"/>
    <hyperlink r:id="rId4223" ref="B2112"/>
    <hyperlink r:id="rId4224" ref="A2113"/>
    <hyperlink r:id="rId4225" ref="B2113"/>
    <hyperlink r:id="rId4226" ref="A2114"/>
    <hyperlink r:id="rId4227" ref="B2114"/>
    <hyperlink r:id="rId4228" ref="A2115"/>
    <hyperlink r:id="rId4229" ref="B2115"/>
    <hyperlink r:id="rId4230" ref="A2116"/>
    <hyperlink r:id="rId4231" ref="B2116"/>
    <hyperlink r:id="rId4232" ref="A2117"/>
    <hyperlink r:id="rId4233" ref="B2117"/>
    <hyperlink r:id="rId4234" ref="A2118"/>
    <hyperlink r:id="rId4235" ref="B2118"/>
    <hyperlink r:id="rId4236" ref="A2119"/>
    <hyperlink r:id="rId4237" ref="B2119"/>
    <hyperlink r:id="rId4238" ref="A2120"/>
    <hyperlink r:id="rId4239" ref="B2120"/>
    <hyperlink r:id="rId4240" ref="A2121"/>
    <hyperlink r:id="rId4241" ref="B2121"/>
    <hyperlink r:id="rId4242" ref="A2122"/>
    <hyperlink r:id="rId4243" ref="B2122"/>
    <hyperlink r:id="rId4244" ref="A2123"/>
    <hyperlink r:id="rId4245" ref="B2123"/>
    <hyperlink r:id="rId4246" ref="A2124"/>
    <hyperlink r:id="rId4247" ref="B2124"/>
    <hyperlink r:id="rId4248" ref="A2125"/>
    <hyperlink r:id="rId4249" ref="B2125"/>
    <hyperlink r:id="rId4250" ref="A2126"/>
    <hyperlink r:id="rId4251" ref="B2126"/>
    <hyperlink r:id="rId4252" ref="A2127"/>
    <hyperlink r:id="rId4253" ref="B2127"/>
    <hyperlink r:id="rId4254" ref="A2128"/>
    <hyperlink r:id="rId4255" ref="B2128"/>
    <hyperlink r:id="rId4256" ref="A2129"/>
    <hyperlink r:id="rId4257" ref="B2129"/>
    <hyperlink r:id="rId4258" ref="A2130"/>
    <hyperlink r:id="rId4259" ref="B2130"/>
    <hyperlink r:id="rId4260" ref="A2131"/>
    <hyperlink r:id="rId4261" ref="B2131"/>
    <hyperlink r:id="rId4262" ref="A2132"/>
    <hyperlink r:id="rId4263" ref="B2132"/>
    <hyperlink r:id="rId4264" ref="A2133"/>
    <hyperlink r:id="rId4265" ref="B2133"/>
    <hyperlink r:id="rId4266" ref="A2134"/>
    <hyperlink r:id="rId4267" ref="B2134"/>
    <hyperlink r:id="rId4268" ref="A2135"/>
    <hyperlink r:id="rId4269" ref="B2135"/>
    <hyperlink r:id="rId4270" ref="A2136"/>
    <hyperlink r:id="rId4271" ref="B2136"/>
    <hyperlink r:id="rId4272" ref="A2137"/>
    <hyperlink r:id="rId4273" ref="B2137"/>
    <hyperlink r:id="rId4274" ref="A2138"/>
    <hyperlink r:id="rId4275" ref="B2138"/>
    <hyperlink r:id="rId4276" ref="A2139"/>
    <hyperlink r:id="rId4277" ref="B2139"/>
    <hyperlink r:id="rId4278" ref="A2140"/>
    <hyperlink r:id="rId4279" ref="B2140"/>
    <hyperlink r:id="rId4280" ref="A2141"/>
    <hyperlink r:id="rId4281" ref="B2141"/>
    <hyperlink r:id="rId4282" ref="A2142"/>
    <hyperlink r:id="rId4283" ref="B2142"/>
    <hyperlink r:id="rId4284" ref="A2143"/>
    <hyperlink r:id="rId4285" ref="B2143"/>
    <hyperlink r:id="rId4286" ref="A2144"/>
    <hyperlink r:id="rId4287" ref="B2144"/>
    <hyperlink r:id="rId4288" ref="A2145"/>
    <hyperlink r:id="rId4289" ref="B2145"/>
    <hyperlink r:id="rId4290" ref="A2146"/>
    <hyperlink r:id="rId4291" ref="B2146"/>
    <hyperlink r:id="rId4292" ref="A2147"/>
    <hyperlink r:id="rId4293" ref="B2147"/>
    <hyperlink r:id="rId4294" ref="A2148"/>
    <hyperlink r:id="rId4295" ref="B2148"/>
    <hyperlink r:id="rId4296" ref="A2149"/>
    <hyperlink r:id="rId4297" ref="B2149"/>
    <hyperlink r:id="rId4298" ref="A2150"/>
    <hyperlink r:id="rId4299" ref="B2150"/>
    <hyperlink r:id="rId4300" ref="A2151"/>
    <hyperlink r:id="rId4301" ref="B2151"/>
    <hyperlink r:id="rId4302" ref="A2152"/>
    <hyperlink r:id="rId4303" ref="B2152"/>
    <hyperlink r:id="rId4304" ref="A2153"/>
    <hyperlink r:id="rId4305" ref="B2153"/>
    <hyperlink r:id="rId4306" ref="A2154"/>
    <hyperlink r:id="rId4307" ref="B2154"/>
    <hyperlink r:id="rId4308" ref="A2155"/>
    <hyperlink r:id="rId4309" ref="B2155"/>
    <hyperlink r:id="rId4310" ref="A2156"/>
    <hyperlink r:id="rId4311" ref="B2156"/>
    <hyperlink r:id="rId4312" ref="A2157"/>
    <hyperlink r:id="rId4313" ref="B2157"/>
    <hyperlink r:id="rId4314" ref="A2158"/>
    <hyperlink r:id="rId4315" ref="B2158"/>
    <hyperlink r:id="rId4316" ref="A2159"/>
    <hyperlink r:id="rId4317" ref="B2159"/>
    <hyperlink r:id="rId4318" ref="A2160"/>
    <hyperlink r:id="rId4319" ref="B2160"/>
    <hyperlink r:id="rId4320" ref="A2161"/>
    <hyperlink r:id="rId4321" ref="B2161"/>
    <hyperlink r:id="rId4322" ref="A2162"/>
    <hyperlink r:id="rId4323" ref="B2162"/>
    <hyperlink r:id="rId4324" ref="A2163"/>
    <hyperlink r:id="rId4325" ref="B2163"/>
    <hyperlink r:id="rId4326" ref="A2164"/>
    <hyperlink r:id="rId4327" ref="B2164"/>
    <hyperlink r:id="rId4328" ref="A2165"/>
    <hyperlink r:id="rId4329" ref="B2165"/>
    <hyperlink r:id="rId4330" ref="A2166"/>
    <hyperlink r:id="rId4331" ref="B2166"/>
    <hyperlink r:id="rId4332" ref="A2167"/>
    <hyperlink r:id="rId4333" ref="B2167"/>
    <hyperlink r:id="rId4334" ref="A2168"/>
    <hyperlink r:id="rId4335" ref="B2168"/>
    <hyperlink r:id="rId4336" ref="A2169"/>
    <hyperlink r:id="rId4337" ref="B2169"/>
    <hyperlink r:id="rId4338" ref="A2170"/>
    <hyperlink r:id="rId4339" ref="B2170"/>
    <hyperlink r:id="rId4340" ref="A2171"/>
    <hyperlink r:id="rId4341" ref="B2171"/>
    <hyperlink r:id="rId4342" ref="A2172"/>
    <hyperlink r:id="rId4343" ref="B2172"/>
    <hyperlink r:id="rId4344" ref="A2173"/>
    <hyperlink r:id="rId4345" ref="B2173"/>
    <hyperlink r:id="rId4346" ref="A2174"/>
    <hyperlink r:id="rId4347" ref="B2174"/>
    <hyperlink r:id="rId4348" ref="A2175"/>
    <hyperlink r:id="rId4349" ref="B2175"/>
    <hyperlink r:id="rId4350" ref="A2176"/>
    <hyperlink r:id="rId4351" ref="B2176"/>
    <hyperlink r:id="rId4352" ref="A2177"/>
    <hyperlink r:id="rId4353" ref="B2177"/>
    <hyperlink r:id="rId4354" ref="A2178"/>
    <hyperlink r:id="rId4355" ref="B2178"/>
    <hyperlink r:id="rId4356" ref="A2179"/>
    <hyperlink r:id="rId4357" ref="B2179"/>
    <hyperlink r:id="rId4358" ref="A2180"/>
    <hyperlink r:id="rId4359" ref="B2180"/>
    <hyperlink r:id="rId4360" ref="A2181"/>
    <hyperlink r:id="rId4361" ref="B2181"/>
    <hyperlink r:id="rId4362" ref="A2182"/>
    <hyperlink r:id="rId4363" ref="B2182"/>
    <hyperlink r:id="rId4364" ref="A2183"/>
    <hyperlink r:id="rId4365" ref="B2183"/>
    <hyperlink r:id="rId4366" ref="A2184"/>
    <hyperlink r:id="rId4367" ref="B2184"/>
    <hyperlink r:id="rId4368" ref="A2185"/>
    <hyperlink r:id="rId4369" ref="B2185"/>
    <hyperlink r:id="rId4370" ref="A2186"/>
    <hyperlink r:id="rId4371" ref="B2186"/>
    <hyperlink r:id="rId4372" ref="A2187"/>
    <hyperlink r:id="rId4373" ref="B2187"/>
    <hyperlink r:id="rId4374" ref="A2188"/>
    <hyperlink r:id="rId4375" ref="B2188"/>
    <hyperlink r:id="rId4376" ref="A2189"/>
    <hyperlink r:id="rId4377" ref="B2189"/>
    <hyperlink r:id="rId4378" ref="A2190"/>
    <hyperlink r:id="rId4379" ref="B2190"/>
    <hyperlink r:id="rId4380" ref="A2191"/>
    <hyperlink r:id="rId4381" ref="B2191"/>
    <hyperlink r:id="rId4382" ref="A2192"/>
    <hyperlink r:id="rId4383" ref="B2192"/>
    <hyperlink r:id="rId4384" ref="A2193"/>
    <hyperlink r:id="rId4385" ref="B2193"/>
    <hyperlink r:id="rId4386" ref="A2194"/>
    <hyperlink r:id="rId4387" ref="B2194"/>
    <hyperlink r:id="rId4388" ref="A2195"/>
    <hyperlink r:id="rId4389" ref="B2195"/>
    <hyperlink r:id="rId4390" ref="A2196"/>
    <hyperlink r:id="rId4391" ref="B2196"/>
    <hyperlink r:id="rId4392" ref="A2197"/>
    <hyperlink r:id="rId4393" ref="B2197"/>
    <hyperlink r:id="rId4394" ref="A2198"/>
    <hyperlink r:id="rId4395" ref="B2198"/>
    <hyperlink r:id="rId4396" ref="A2199"/>
    <hyperlink r:id="rId4397" ref="B2199"/>
    <hyperlink r:id="rId4398" ref="A2200"/>
    <hyperlink r:id="rId4399" ref="B2200"/>
    <hyperlink r:id="rId4400" ref="A2201"/>
    <hyperlink r:id="rId4401" ref="B2201"/>
    <hyperlink r:id="rId4402" ref="A2202"/>
    <hyperlink r:id="rId4403" ref="B2202"/>
    <hyperlink r:id="rId4404" ref="A2203"/>
    <hyperlink r:id="rId4405" ref="B2203"/>
    <hyperlink r:id="rId4406" ref="A2204"/>
    <hyperlink r:id="rId4407" ref="B2204"/>
    <hyperlink r:id="rId4408" ref="A2205"/>
    <hyperlink r:id="rId4409" ref="B2205"/>
    <hyperlink r:id="rId4410" ref="A2206"/>
    <hyperlink r:id="rId4411" ref="B2206"/>
    <hyperlink r:id="rId4412" ref="A2207"/>
    <hyperlink r:id="rId4413" ref="B2207"/>
    <hyperlink r:id="rId4414" ref="A2208"/>
    <hyperlink r:id="rId4415" ref="B2208"/>
    <hyperlink r:id="rId4416" ref="A2209"/>
    <hyperlink r:id="rId4417" ref="B2209"/>
    <hyperlink r:id="rId4418" ref="A2210"/>
    <hyperlink r:id="rId4419" ref="B2210"/>
    <hyperlink r:id="rId4420" ref="A2211"/>
    <hyperlink r:id="rId4421" ref="B2211"/>
    <hyperlink r:id="rId4422" ref="A2212"/>
    <hyperlink r:id="rId4423" ref="B2212"/>
    <hyperlink r:id="rId4424" ref="A2213"/>
    <hyperlink r:id="rId4425" ref="B2213"/>
    <hyperlink r:id="rId4426" ref="A2214"/>
    <hyperlink r:id="rId4427" ref="B2214"/>
    <hyperlink r:id="rId4428" ref="A2215"/>
    <hyperlink r:id="rId4429" ref="B2215"/>
    <hyperlink r:id="rId4430" ref="A2216"/>
    <hyperlink r:id="rId4431" ref="B2216"/>
    <hyperlink r:id="rId4432" ref="A2217"/>
    <hyperlink r:id="rId4433" ref="B2217"/>
    <hyperlink r:id="rId4434" ref="A2218"/>
    <hyperlink r:id="rId4435" ref="B2218"/>
    <hyperlink r:id="rId4436" ref="A2219"/>
    <hyperlink r:id="rId4437" ref="B2219"/>
    <hyperlink r:id="rId4438" ref="A2220"/>
    <hyperlink r:id="rId4439" ref="B2220"/>
    <hyperlink r:id="rId4440" ref="A2221"/>
    <hyperlink r:id="rId4441" ref="B2221"/>
    <hyperlink r:id="rId4442" ref="A2222"/>
    <hyperlink r:id="rId4443" ref="B2222"/>
    <hyperlink r:id="rId4444" ref="A2223"/>
    <hyperlink r:id="rId4445" ref="B2223"/>
    <hyperlink r:id="rId4446" ref="A2224"/>
    <hyperlink r:id="rId4447" ref="B2224"/>
    <hyperlink r:id="rId4448" ref="A2225"/>
    <hyperlink r:id="rId4449" ref="B2225"/>
    <hyperlink r:id="rId4450" ref="A2226"/>
    <hyperlink r:id="rId4451" ref="B2226"/>
    <hyperlink r:id="rId4452" ref="A2227"/>
    <hyperlink r:id="rId4453" ref="B2227"/>
    <hyperlink r:id="rId4454" ref="A2228"/>
    <hyperlink r:id="rId4455" ref="B2228"/>
    <hyperlink r:id="rId4456" ref="A2229"/>
    <hyperlink r:id="rId4457" ref="B2229"/>
    <hyperlink r:id="rId4458" ref="A2230"/>
    <hyperlink r:id="rId4459" ref="B2230"/>
    <hyperlink r:id="rId4460" ref="A2231"/>
    <hyperlink r:id="rId4461" ref="B2231"/>
    <hyperlink r:id="rId4462" ref="A2232"/>
    <hyperlink r:id="rId4463" ref="B2232"/>
    <hyperlink r:id="rId4464" ref="A2233"/>
    <hyperlink r:id="rId4465" ref="B2233"/>
    <hyperlink r:id="rId4466" ref="A2234"/>
    <hyperlink r:id="rId4467" ref="B2234"/>
    <hyperlink r:id="rId4468" ref="A2235"/>
    <hyperlink r:id="rId4469" ref="B2235"/>
    <hyperlink r:id="rId4470" ref="A2236"/>
    <hyperlink r:id="rId4471" ref="B2236"/>
    <hyperlink r:id="rId4472" ref="A2237"/>
    <hyperlink r:id="rId4473" ref="B2237"/>
    <hyperlink r:id="rId4474" ref="A2238"/>
    <hyperlink r:id="rId4475" ref="B2238"/>
    <hyperlink r:id="rId4476" ref="A2239"/>
    <hyperlink r:id="rId4477" ref="B2239"/>
    <hyperlink r:id="rId4478" ref="A2240"/>
    <hyperlink r:id="rId4479" ref="B2240"/>
    <hyperlink r:id="rId4480" ref="A2241"/>
    <hyperlink r:id="rId4481" ref="B2241"/>
    <hyperlink r:id="rId4482" ref="A2242"/>
    <hyperlink r:id="rId4483" ref="B2242"/>
    <hyperlink r:id="rId4484" ref="A2243"/>
    <hyperlink r:id="rId4485" ref="B2243"/>
    <hyperlink r:id="rId4486" ref="A2244"/>
    <hyperlink r:id="rId4487" ref="B2244"/>
    <hyperlink r:id="rId4488" ref="A2245"/>
    <hyperlink r:id="rId4489" ref="B2245"/>
    <hyperlink r:id="rId4490" ref="A2246"/>
    <hyperlink r:id="rId4491" ref="B2246"/>
    <hyperlink r:id="rId4492" ref="A2247"/>
    <hyperlink r:id="rId4493" ref="B2247"/>
    <hyperlink r:id="rId4494" ref="A2248"/>
    <hyperlink r:id="rId4495" ref="B2248"/>
    <hyperlink r:id="rId4496" ref="A2249"/>
    <hyperlink r:id="rId4497" ref="B2249"/>
    <hyperlink r:id="rId4498" ref="A2250"/>
    <hyperlink r:id="rId4499" ref="B2250"/>
    <hyperlink r:id="rId4500" ref="A2251"/>
    <hyperlink r:id="rId4501" ref="B2251"/>
    <hyperlink r:id="rId4502" ref="A2252"/>
    <hyperlink r:id="rId4503" ref="B2252"/>
    <hyperlink r:id="rId4504" ref="A2253"/>
    <hyperlink r:id="rId4505" ref="B2253"/>
    <hyperlink r:id="rId4506" ref="A2254"/>
    <hyperlink r:id="rId4507" ref="B2254"/>
    <hyperlink r:id="rId4508" ref="A2255"/>
    <hyperlink r:id="rId4509" ref="B2255"/>
    <hyperlink r:id="rId4510" ref="A2256"/>
    <hyperlink r:id="rId4511" ref="B2256"/>
    <hyperlink r:id="rId4512" ref="A2257"/>
    <hyperlink r:id="rId4513" ref="B2257"/>
    <hyperlink r:id="rId4514" ref="A2258"/>
    <hyperlink r:id="rId4515" ref="B2258"/>
    <hyperlink r:id="rId4516" ref="A2259"/>
    <hyperlink r:id="rId4517" ref="B2259"/>
    <hyperlink r:id="rId4518" ref="A2260"/>
    <hyperlink r:id="rId4519" ref="B2260"/>
    <hyperlink r:id="rId4520" ref="A2261"/>
    <hyperlink r:id="rId4521" ref="B2261"/>
    <hyperlink r:id="rId4522" ref="A2262"/>
    <hyperlink r:id="rId4523" ref="B2262"/>
    <hyperlink r:id="rId4524" ref="A2263"/>
    <hyperlink r:id="rId4525" ref="B2263"/>
    <hyperlink r:id="rId4526" ref="A2264"/>
    <hyperlink r:id="rId4527" ref="B2264"/>
    <hyperlink r:id="rId4528" ref="A2265"/>
    <hyperlink r:id="rId4529" ref="B2265"/>
    <hyperlink r:id="rId4530" ref="A2266"/>
    <hyperlink r:id="rId4531" ref="B2266"/>
    <hyperlink r:id="rId4532" ref="A2267"/>
    <hyperlink r:id="rId4533" ref="B2267"/>
    <hyperlink r:id="rId4534" ref="A2268"/>
    <hyperlink r:id="rId4535" ref="B2268"/>
    <hyperlink r:id="rId4536" ref="A2269"/>
    <hyperlink r:id="rId4537" ref="B2269"/>
    <hyperlink r:id="rId4538" ref="A2270"/>
    <hyperlink r:id="rId4539" ref="B2270"/>
    <hyperlink r:id="rId4540" ref="A2271"/>
    <hyperlink r:id="rId4541" ref="B2271"/>
    <hyperlink r:id="rId4542" ref="A2272"/>
    <hyperlink r:id="rId4543" ref="B2272"/>
    <hyperlink r:id="rId4544" ref="A2273"/>
    <hyperlink r:id="rId4545" ref="B2273"/>
    <hyperlink r:id="rId4546" ref="A2274"/>
    <hyperlink r:id="rId4547" ref="B2274"/>
    <hyperlink r:id="rId4548" ref="A2275"/>
    <hyperlink r:id="rId4549" ref="B2275"/>
    <hyperlink r:id="rId4550" ref="A2276"/>
    <hyperlink r:id="rId4551" ref="B2276"/>
    <hyperlink r:id="rId4552" ref="A2277"/>
    <hyperlink r:id="rId4553" ref="B2277"/>
    <hyperlink r:id="rId4554" ref="A2278"/>
    <hyperlink r:id="rId4555" ref="B2278"/>
    <hyperlink r:id="rId4556" ref="A2279"/>
    <hyperlink r:id="rId4557" ref="B2279"/>
    <hyperlink r:id="rId4558" ref="A2280"/>
    <hyperlink r:id="rId4559" ref="B2280"/>
    <hyperlink r:id="rId4560" ref="A2281"/>
    <hyperlink r:id="rId4561" ref="B2281"/>
    <hyperlink r:id="rId4562" ref="A2282"/>
    <hyperlink r:id="rId4563" ref="B2282"/>
    <hyperlink r:id="rId4564" ref="A2283"/>
    <hyperlink r:id="rId4565" ref="B2283"/>
    <hyperlink r:id="rId4566" ref="A2284"/>
    <hyperlink r:id="rId4567" ref="B2284"/>
    <hyperlink r:id="rId4568" ref="A2285"/>
    <hyperlink r:id="rId4569" ref="B2285"/>
    <hyperlink r:id="rId4570" ref="A2286"/>
    <hyperlink r:id="rId4571" ref="B2286"/>
    <hyperlink r:id="rId4572" ref="A2287"/>
    <hyperlink r:id="rId4573" ref="B2287"/>
    <hyperlink r:id="rId4574" ref="A2288"/>
    <hyperlink r:id="rId4575" ref="B2288"/>
    <hyperlink r:id="rId4576" ref="A2289"/>
    <hyperlink r:id="rId4577" ref="B2289"/>
    <hyperlink r:id="rId4578" ref="A2290"/>
    <hyperlink r:id="rId4579" ref="B2290"/>
    <hyperlink r:id="rId4580" ref="A2291"/>
    <hyperlink r:id="rId4581" ref="B2291"/>
    <hyperlink r:id="rId4582" ref="A2292"/>
    <hyperlink r:id="rId4583" ref="B2292"/>
    <hyperlink r:id="rId4584" ref="A2293"/>
    <hyperlink r:id="rId4585" ref="B2293"/>
    <hyperlink r:id="rId4586" ref="A2294"/>
    <hyperlink r:id="rId4587" ref="B2294"/>
    <hyperlink r:id="rId4588" ref="A2295"/>
    <hyperlink r:id="rId4589" ref="B2295"/>
    <hyperlink r:id="rId4590" ref="A2296"/>
    <hyperlink r:id="rId4591" ref="B2296"/>
    <hyperlink r:id="rId4592" ref="A2297"/>
    <hyperlink r:id="rId4593" ref="B2297"/>
    <hyperlink r:id="rId4594" ref="A2298"/>
    <hyperlink r:id="rId4595" ref="B2298"/>
    <hyperlink r:id="rId4596" ref="A2299"/>
    <hyperlink r:id="rId4597" ref="B2299"/>
    <hyperlink r:id="rId4598" ref="A2300"/>
    <hyperlink r:id="rId4599" ref="B2300"/>
    <hyperlink r:id="rId4600" ref="A2301"/>
    <hyperlink r:id="rId4601" ref="B2301"/>
    <hyperlink r:id="rId4602" ref="A2302"/>
    <hyperlink r:id="rId4603" ref="B2302"/>
    <hyperlink r:id="rId4604" ref="A2303"/>
    <hyperlink r:id="rId4605" ref="B2303"/>
    <hyperlink r:id="rId4606" ref="A2304"/>
    <hyperlink r:id="rId4607" ref="B2304"/>
    <hyperlink r:id="rId4608" ref="A2305"/>
    <hyperlink r:id="rId4609" ref="B2305"/>
    <hyperlink r:id="rId4610" ref="A2306"/>
    <hyperlink r:id="rId4611" ref="B2306"/>
    <hyperlink r:id="rId4612" ref="A2307"/>
    <hyperlink r:id="rId4613" ref="B2307"/>
    <hyperlink r:id="rId4614" ref="A2308"/>
    <hyperlink r:id="rId4615" ref="B2308"/>
    <hyperlink r:id="rId4616" ref="A2309"/>
    <hyperlink r:id="rId4617" ref="B2309"/>
    <hyperlink r:id="rId4618" ref="A2310"/>
    <hyperlink r:id="rId4619" ref="B2310"/>
    <hyperlink r:id="rId4620" ref="A2311"/>
    <hyperlink r:id="rId4621" ref="B2311"/>
    <hyperlink r:id="rId4622" ref="A2312"/>
    <hyperlink r:id="rId4623" ref="B2312"/>
    <hyperlink r:id="rId4624" ref="A2313"/>
    <hyperlink r:id="rId4625" ref="B2313"/>
    <hyperlink r:id="rId4626" ref="A2314"/>
    <hyperlink r:id="rId4627" ref="B2314"/>
    <hyperlink r:id="rId4628" ref="A2315"/>
    <hyperlink r:id="rId4629" ref="B2315"/>
    <hyperlink r:id="rId4630" ref="A2316"/>
    <hyperlink r:id="rId4631" ref="B2316"/>
    <hyperlink r:id="rId4632" ref="A2317"/>
    <hyperlink r:id="rId4633" ref="B2317"/>
    <hyperlink r:id="rId4634" ref="A2318"/>
    <hyperlink r:id="rId4635" ref="B2318"/>
    <hyperlink r:id="rId4636" ref="A2319"/>
    <hyperlink r:id="rId4637" ref="B2319"/>
    <hyperlink r:id="rId4638" ref="A2320"/>
    <hyperlink r:id="rId4639" ref="B2320"/>
    <hyperlink r:id="rId4640" ref="A2321"/>
    <hyperlink r:id="rId4641" ref="B2321"/>
    <hyperlink r:id="rId4642" ref="A2322"/>
    <hyperlink r:id="rId4643" ref="B2322"/>
    <hyperlink r:id="rId4644" ref="A2323"/>
    <hyperlink r:id="rId4645" ref="B2323"/>
    <hyperlink r:id="rId4646" ref="A2324"/>
    <hyperlink r:id="rId4647" ref="B2324"/>
    <hyperlink r:id="rId4648" ref="A2325"/>
    <hyperlink r:id="rId4649" ref="B2325"/>
    <hyperlink r:id="rId4650" ref="A2326"/>
    <hyperlink r:id="rId4651" ref="B2326"/>
    <hyperlink r:id="rId4652" ref="A2327"/>
    <hyperlink r:id="rId4653" ref="B2327"/>
    <hyperlink r:id="rId4654" ref="A2328"/>
    <hyperlink r:id="rId4655" ref="B2328"/>
    <hyperlink r:id="rId4656" ref="A2329"/>
    <hyperlink r:id="rId4657" ref="B2329"/>
    <hyperlink r:id="rId4658" ref="A2330"/>
    <hyperlink r:id="rId4659" ref="B2330"/>
    <hyperlink r:id="rId4660" ref="A2331"/>
    <hyperlink r:id="rId4661" ref="B2331"/>
    <hyperlink r:id="rId4662" ref="A2332"/>
    <hyperlink r:id="rId4663" ref="B2332"/>
    <hyperlink r:id="rId4664" ref="A2333"/>
    <hyperlink r:id="rId4665" ref="B2333"/>
    <hyperlink r:id="rId4666" ref="A2334"/>
    <hyperlink r:id="rId4667" ref="B2334"/>
    <hyperlink r:id="rId4668" ref="A2335"/>
    <hyperlink r:id="rId4669" ref="B2335"/>
    <hyperlink r:id="rId4670" ref="A2336"/>
    <hyperlink r:id="rId4671" ref="B2336"/>
    <hyperlink r:id="rId4672" ref="A2337"/>
    <hyperlink r:id="rId4673" ref="B2337"/>
    <hyperlink r:id="rId4674" ref="A2338"/>
    <hyperlink r:id="rId4675" ref="B2338"/>
    <hyperlink r:id="rId4676" ref="A2339"/>
    <hyperlink r:id="rId4677" ref="B2339"/>
    <hyperlink r:id="rId4678" ref="A2340"/>
    <hyperlink r:id="rId4679" ref="B2340"/>
    <hyperlink r:id="rId4680" ref="A2341"/>
    <hyperlink r:id="rId4681" ref="B2341"/>
    <hyperlink r:id="rId4682" ref="A2342"/>
    <hyperlink r:id="rId4683" ref="B2342"/>
    <hyperlink r:id="rId4684" ref="A2343"/>
    <hyperlink r:id="rId4685" ref="B2343"/>
    <hyperlink r:id="rId4686" ref="A2344"/>
    <hyperlink r:id="rId4687" ref="B2344"/>
    <hyperlink r:id="rId4688" ref="A2345"/>
    <hyperlink r:id="rId4689" ref="B2345"/>
    <hyperlink r:id="rId4690" ref="A2346"/>
    <hyperlink r:id="rId4691" ref="B2346"/>
    <hyperlink r:id="rId4692" ref="A2347"/>
    <hyperlink r:id="rId4693" ref="B2347"/>
    <hyperlink r:id="rId4694" ref="A2348"/>
    <hyperlink r:id="rId4695" ref="B2348"/>
    <hyperlink r:id="rId4696" ref="A2349"/>
    <hyperlink r:id="rId4697" ref="B2349"/>
    <hyperlink r:id="rId4698" ref="A2350"/>
    <hyperlink r:id="rId4699" ref="B2350"/>
    <hyperlink r:id="rId4700" ref="A2351"/>
    <hyperlink r:id="rId4701" ref="B2351"/>
    <hyperlink r:id="rId4702" ref="A2352"/>
    <hyperlink r:id="rId4703" ref="B2352"/>
    <hyperlink r:id="rId4704" ref="A2353"/>
    <hyperlink r:id="rId4705" ref="B2353"/>
    <hyperlink r:id="rId4706" ref="A2354"/>
    <hyperlink r:id="rId4707" ref="B2354"/>
    <hyperlink r:id="rId4708" ref="A2355"/>
    <hyperlink r:id="rId4709" ref="B2355"/>
    <hyperlink r:id="rId4710" ref="A2356"/>
    <hyperlink r:id="rId4711" ref="B2356"/>
    <hyperlink r:id="rId4712" ref="A2357"/>
    <hyperlink r:id="rId4713" ref="B2357"/>
    <hyperlink r:id="rId4714" ref="A2358"/>
    <hyperlink r:id="rId4715" ref="B2358"/>
    <hyperlink r:id="rId4716" ref="A2359"/>
    <hyperlink r:id="rId4717" ref="B2359"/>
    <hyperlink r:id="rId4718" ref="A2360"/>
    <hyperlink r:id="rId4719" ref="B2360"/>
    <hyperlink r:id="rId4720" ref="A2361"/>
    <hyperlink r:id="rId4721" ref="B2361"/>
    <hyperlink r:id="rId4722" ref="A2362"/>
    <hyperlink r:id="rId4723" ref="B2362"/>
    <hyperlink r:id="rId4724" ref="A2363"/>
    <hyperlink r:id="rId4725" ref="B2363"/>
    <hyperlink r:id="rId4726" ref="A2364"/>
    <hyperlink r:id="rId4727" ref="B2364"/>
    <hyperlink r:id="rId4728" ref="A2365"/>
    <hyperlink r:id="rId4729" ref="B2365"/>
    <hyperlink r:id="rId4730" ref="A2366"/>
    <hyperlink r:id="rId4731" ref="B2366"/>
    <hyperlink r:id="rId4732" ref="A2367"/>
    <hyperlink r:id="rId4733" ref="B2367"/>
    <hyperlink r:id="rId4734" ref="A2368"/>
    <hyperlink r:id="rId4735" ref="B2368"/>
    <hyperlink r:id="rId4736" ref="A2369"/>
    <hyperlink r:id="rId4737" ref="B2369"/>
    <hyperlink r:id="rId4738" ref="A2370"/>
    <hyperlink r:id="rId4739" ref="B2370"/>
    <hyperlink r:id="rId4740" ref="A2371"/>
    <hyperlink r:id="rId4741" ref="B2371"/>
    <hyperlink r:id="rId4742" ref="A2372"/>
    <hyperlink r:id="rId4743" ref="B2372"/>
    <hyperlink r:id="rId4744" ref="A2373"/>
    <hyperlink r:id="rId4745" ref="B2373"/>
    <hyperlink r:id="rId4746" ref="A2374"/>
    <hyperlink r:id="rId4747" ref="B2374"/>
    <hyperlink r:id="rId4748" ref="A2375"/>
    <hyperlink r:id="rId4749" ref="B2375"/>
    <hyperlink r:id="rId4750" ref="A2376"/>
    <hyperlink r:id="rId4751" ref="B2376"/>
    <hyperlink r:id="rId4752" ref="A2377"/>
    <hyperlink r:id="rId4753" ref="B2377"/>
    <hyperlink r:id="rId4754" ref="A2378"/>
    <hyperlink r:id="rId4755" ref="B2378"/>
    <hyperlink r:id="rId4756" ref="A2379"/>
    <hyperlink r:id="rId4757" ref="B2379"/>
    <hyperlink r:id="rId4758" ref="A2380"/>
    <hyperlink r:id="rId4759" ref="B2380"/>
    <hyperlink r:id="rId4760" ref="A2381"/>
    <hyperlink r:id="rId4761" ref="B2381"/>
    <hyperlink r:id="rId4762" ref="A2382"/>
    <hyperlink r:id="rId4763" ref="B2382"/>
    <hyperlink r:id="rId4764" ref="A2383"/>
    <hyperlink r:id="rId4765" ref="B2383"/>
    <hyperlink r:id="rId4766" ref="A2384"/>
    <hyperlink r:id="rId4767" ref="B2384"/>
    <hyperlink r:id="rId4768" ref="A2385"/>
    <hyperlink r:id="rId4769" ref="B2385"/>
    <hyperlink r:id="rId4770" ref="A2386"/>
    <hyperlink r:id="rId4771" ref="B2386"/>
    <hyperlink r:id="rId4772" ref="A2387"/>
    <hyperlink r:id="rId4773" ref="B2387"/>
    <hyperlink r:id="rId4774" ref="A2388"/>
    <hyperlink r:id="rId4775" ref="B2388"/>
    <hyperlink r:id="rId4776" ref="A2389"/>
    <hyperlink r:id="rId4777" ref="B2389"/>
    <hyperlink r:id="rId4778" ref="A2390"/>
    <hyperlink r:id="rId4779" ref="B2390"/>
    <hyperlink r:id="rId4780" ref="A2391"/>
    <hyperlink r:id="rId4781" ref="B2391"/>
    <hyperlink r:id="rId4782" ref="A2392"/>
    <hyperlink r:id="rId4783" ref="B2392"/>
    <hyperlink r:id="rId4784" ref="A2393"/>
    <hyperlink r:id="rId4785" ref="B2393"/>
    <hyperlink r:id="rId4786" ref="A2394"/>
    <hyperlink r:id="rId4787" ref="B2394"/>
    <hyperlink r:id="rId4788" ref="A2395"/>
    <hyperlink r:id="rId4789" ref="B2395"/>
    <hyperlink r:id="rId4790" ref="A2396"/>
    <hyperlink r:id="rId4791" ref="B2396"/>
    <hyperlink r:id="rId4792" ref="A2397"/>
    <hyperlink r:id="rId4793" ref="B2397"/>
    <hyperlink r:id="rId4794" ref="A2398"/>
    <hyperlink r:id="rId4795" ref="B2398"/>
    <hyperlink r:id="rId4796" ref="A2399"/>
    <hyperlink r:id="rId4797" ref="B2399"/>
    <hyperlink r:id="rId4798" ref="A2400"/>
    <hyperlink r:id="rId4799" ref="B2400"/>
    <hyperlink r:id="rId4800" ref="A2401"/>
    <hyperlink r:id="rId4801" ref="B2401"/>
    <hyperlink r:id="rId4802" ref="A2402"/>
    <hyperlink r:id="rId4803" ref="B2402"/>
    <hyperlink r:id="rId4804" ref="A2403"/>
    <hyperlink r:id="rId4805" ref="B2403"/>
    <hyperlink r:id="rId4806" ref="A2404"/>
    <hyperlink r:id="rId4807" ref="B2404"/>
    <hyperlink r:id="rId4808" ref="A2405"/>
    <hyperlink r:id="rId4809" ref="B2405"/>
    <hyperlink r:id="rId4810" ref="A2406"/>
    <hyperlink r:id="rId4811" ref="B2406"/>
    <hyperlink r:id="rId4812" ref="A2407"/>
    <hyperlink r:id="rId4813" ref="B2407"/>
    <hyperlink r:id="rId4814" ref="A2408"/>
    <hyperlink r:id="rId4815" ref="B2408"/>
    <hyperlink r:id="rId4816" ref="A2409"/>
    <hyperlink r:id="rId4817" ref="B2409"/>
    <hyperlink r:id="rId4818" ref="A2410"/>
    <hyperlink r:id="rId4819" ref="B2410"/>
    <hyperlink r:id="rId4820" ref="A2411"/>
    <hyperlink r:id="rId4821" ref="B2411"/>
    <hyperlink r:id="rId4822" ref="A2412"/>
    <hyperlink r:id="rId4823" ref="B2412"/>
    <hyperlink r:id="rId4824" ref="A2413"/>
    <hyperlink r:id="rId4825" ref="B2413"/>
    <hyperlink r:id="rId4826" ref="A2414"/>
    <hyperlink r:id="rId4827" ref="B2414"/>
    <hyperlink r:id="rId4828" ref="A2415"/>
    <hyperlink r:id="rId4829" ref="B2415"/>
    <hyperlink r:id="rId4830" ref="A2416"/>
    <hyperlink r:id="rId4831" ref="B2416"/>
    <hyperlink r:id="rId4832" ref="A2417"/>
    <hyperlink r:id="rId4833" ref="B2417"/>
    <hyperlink r:id="rId4834" ref="A2418"/>
    <hyperlink r:id="rId4835" ref="B2418"/>
    <hyperlink r:id="rId4836" ref="A2419"/>
    <hyperlink r:id="rId4837" ref="B2419"/>
    <hyperlink r:id="rId4838" ref="A2420"/>
    <hyperlink r:id="rId4839" ref="B2420"/>
    <hyperlink r:id="rId4840" ref="A2421"/>
    <hyperlink r:id="rId4841" ref="B2421"/>
    <hyperlink r:id="rId4842" ref="A2422"/>
    <hyperlink r:id="rId4843" ref="B2422"/>
    <hyperlink r:id="rId4844" ref="A2423"/>
    <hyperlink r:id="rId4845" ref="B2423"/>
    <hyperlink r:id="rId4846" ref="A2424"/>
    <hyperlink r:id="rId4847" ref="B2424"/>
    <hyperlink r:id="rId4848" ref="A2425"/>
    <hyperlink r:id="rId4849" ref="B2425"/>
    <hyperlink r:id="rId4850" ref="A2426"/>
    <hyperlink r:id="rId4851" ref="B2426"/>
    <hyperlink r:id="rId4852" ref="A2427"/>
    <hyperlink r:id="rId4853" ref="B2427"/>
    <hyperlink r:id="rId4854" ref="A2428"/>
    <hyperlink r:id="rId4855" ref="B2428"/>
    <hyperlink r:id="rId4856" ref="A2429"/>
    <hyperlink r:id="rId4857" ref="B2429"/>
    <hyperlink r:id="rId4858" ref="A2430"/>
    <hyperlink r:id="rId4859" ref="B2430"/>
    <hyperlink r:id="rId4860" ref="A2431"/>
    <hyperlink r:id="rId4861" ref="B2431"/>
    <hyperlink r:id="rId4862" ref="A2432"/>
    <hyperlink r:id="rId4863" ref="B2432"/>
    <hyperlink r:id="rId4864" ref="A2433"/>
    <hyperlink r:id="rId4865" ref="B2433"/>
    <hyperlink r:id="rId4866" ref="A2434"/>
    <hyperlink r:id="rId4867" ref="B2434"/>
    <hyperlink r:id="rId4868" ref="A2435"/>
    <hyperlink r:id="rId4869" ref="B2435"/>
    <hyperlink r:id="rId4870" ref="A2436"/>
    <hyperlink r:id="rId4871" ref="B2436"/>
    <hyperlink r:id="rId4872" ref="A2437"/>
    <hyperlink r:id="rId4873" ref="B2437"/>
    <hyperlink r:id="rId4874" ref="A2438"/>
    <hyperlink r:id="rId4875" ref="B2438"/>
    <hyperlink r:id="rId4876" ref="A2439"/>
    <hyperlink r:id="rId4877" ref="B2439"/>
    <hyperlink r:id="rId4878" ref="A2440"/>
    <hyperlink r:id="rId4879" ref="B2440"/>
    <hyperlink r:id="rId4880" ref="A2441"/>
    <hyperlink r:id="rId4881" ref="B2441"/>
    <hyperlink r:id="rId4882" ref="A2442"/>
    <hyperlink r:id="rId4883" ref="B2442"/>
    <hyperlink r:id="rId4884" ref="A2443"/>
    <hyperlink r:id="rId4885" ref="B2443"/>
    <hyperlink r:id="rId4886" ref="A2444"/>
    <hyperlink r:id="rId4887" ref="B2444"/>
    <hyperlink r:id="rId4888" ref="A2445"/>
    <hyperlink r:id="rId4889" ref="B2445"/>
    <hyperlink r:id="rId4890" ref="A2446"/>
    <hyperlink r:id="rId4891" ref="B2446"/>
    <hyperlink r:id="rId4892" ref="A2447"/>
    <hyperlink r:id="rId4893" ref="B2447"/>
    <hyperlink r:id="rId4894" ref="A2448"/>
    <hyperlink r:id="rId4895" ref="B2448"/>
    <hyperlink r:id="rId4896" ref="A2449"/>
    <hyperlink r:id="rId4897" ref="B2449"/>
    <hyperlink r:id="rId4898" ref="A2450"/>
    <hyperlink r:id="rId4899" ref="B2450"/>
    <hyperlink r:id="rId4900" ref="A2451"/>
    <hyperlink r:id="rId4901" ref="B2451"/>
    <hyperlink r:id="rId4902" ref="A2452"/>
    <hyperlink r:id="rId4903" ref="B2452"/>
    <hyperlink r:id="rId4904" ref="A2453"/>
    <hyperlink r:id="rId4905" ref="B2453"/>
    <hyperlink r:id="rId4906" ref="A2454"/>
    <hyperlink r:id="rId4907" ref="B2454"/>
    <hyperlink r:id="rId4908" ref="A2455"/>
    <hyperlink r:id="rId4909" ref="B2455"/>
    <hyperlink r:id="rId4910" ref="A2456"/>
    <hyperlink r:id="rId4911" ref="B2456"/>
    <hyperlink r:id="rId4912" ref="A2457"/>
    <hyperlink r:id="rId4913" ref="B2457"/>
    <hyperlink r:id="rId4914" ref="A2458"/>
    <hyperlink r:id="rId4915" ref="B2458"/>
    <hyperlink r:id="rId4916" ref="A2459"/>
    <hyperlink r:id="rId4917" ref="B2459"/>
    <hyperlink r:id="rId4918" ref="A2460"/>
    <hyperlink r:id="rId4919" ref="B2460"/>
    <hyperlink r:id="rId4920" ref="A2461"/>
    <hyperlink r:id="rId4921" ref="B2461"/>
    <hyperlink r:id="rId4922" ref="A2462"/>
    <hyperlink r:id="rId4923" ref="B2462"/>
    <hyperlink r:id="rId4924" ref="A2463"/>
    <hyperlink r:id="rId4925" ref="B2463"/>
    <hyperlink r:id="rId4926" ref="A2464"/>
    <hyperlink r:id="rId4927" ref="B2464"/>
    <hyperlink r:id="rId4928" ref="A2465"/>
    <hyperlink r:id="rId4929" ref="B2465"/>
    <hyperlink r:id="rId4930" ref="A2466"/>
    <hyperlink r:id="rId4931" ref="B2466"/>
    <hyperlink r:id="rId4932" ref="A2467"/>
    <hyperlink r:id="rId4933" ref="B2467"/>
    <hyperlink r:id="rId4934" ref="A2468"/>
    <hyperlink r:id="rId4935" ref="B2468"/>
    <hyperlink r:id="rId4936" ref="A2469"/>
    <hyperlink r:id="rId4937" ref="B2469"/>
    <hyperlink r:id="rId4938" ref="A2470"/>
    <hyperlink r:id="rId4939" ref="B2470"/>
    <hyperlink r:id="rId4940" ref="A2471"/>
    <hyperlink r:id="rId4941" ref="B2471"/>
    <hyperlink r:id="rId4942" ref="A2472"/>
    <hyperlink r:id="rId4943" ref="B2472"/>
    <hyperlink r:id="rId4944" ref="A2473"/>
    <hyperlink r:id="rId4945" ref="B2473"/>
    <hyperlink r:id="rId4946" ref="A2474"/>
    <hyperlink r:id="rId4947" ref="B2474"/>
    <hyperlink r:id="rId4948" ref="A2475"/>
    <hyperlink r:id="rId4949" ref="B2475"/>
    <hyperlink r:id="rId4950" ref="A2476"/>
    <hyperlink r:id="rId4951" ref="B2476"/>
    <hyperlink r:id="rId4952" ref="A2477"/>
    <hyperlink r:id="rId4953" ref="B2477"/>
    <hyperlink r:id="rId4954" ref="A2478"/>
    <hyperlink r:id="rId4955" ref="B2478"/>
    <hyperlink r:id="rId4956" ref="A2479"/>
    <hyperlink r:id="rId4957" ref="B2479"/>
    <hyperlink r:id="rId4958" ref="A2480"/>
    <hyperlink r:id="rId4959" ref="B2480"/>
    <hyperlink r:id="rId4960" ref="A2481"/>
    <hyperlink r:id="rId4961" ref="B2481"/>
    <hyperlink r:id="rId4962" ref="A2482"/>
    <hyperlink r:id="rId4963" ref="B2482"/>
    <hyperlink r:id="rId4964" ref="A2483"/>
    <hyperlink r:id="rId4965" ref="B2483"/>
    <hyperlink r:id="rId4966" ref="A2484"/>
    <hyperlink r:id="rId4967" ref="B2484"/>
    <hyperlink r:id="rId4968" ref="A2485"/>
    <hyperlink r:id="rId4969" ref="B2485"/>
    <hyperlink r:id="rId4970" ref="A2486"/>
    <hyperlink r:id="rId4971" ref="B2486"/>
    <hyperlink r:id="rId4972" ref="A2487"/>
    <hyperlink r:id="rId4973" ref="B2487"/>
    <hyperlink r:id="rId4974" ref="A2488"/>
    <hyperlink r:id="rId4975" ref="B2488"/>
    <hyperlink r:id="rId4976" ref="A2489"/>
    <hyperlink r:id="rId4977" ref="B2489"/>
    <hyperlink r:id="rId4978" ref="A2490"/>
    <hyperlink r:id="rId4979" ref="B2490"/>
    <hyperlink r:id="rId4980" ref="A2491"/>
    <hyperlink r:id="rId4981" ref="B2491"/>
    <hyperlink r:id="rId4982" ref="A2492"/>
    <hyperlink r:id="rId4983" ref="B2492"/>
    <hyperlink r:id="rId4984" ref="A2493"/>
    <hyperlink r:id="rId4985" ref="B2493"/>
    <hyperlink r:id="rId4986" ref="A2494"/>
    <hyperlink r:id="rId4987" ref="B2494"/>
    <hyperlink r:id="rId4988" ref="A2495"/>
    <hyperlink r:id="rId4989" ref="B2495"/>
    <hyperlink r:id="rId4990" ref="A2496"/>
    <hyperlink r:id="rId4991" ref="B2496"/>
    <hyperlink r:id="rId4992" ref="A2497"/>
    <hyperlink r:id="rId4993" ref="B2497"/>
    <hyperlink r:id="rId4994" ref="A2498"/>
    <hyperlink r:id="rId4995" ref="B2498"/>
    <hyperlink r:id="rId4996" ref="A2499"/>
    <hyperlink r:id="rId4997" ref="B2499"/>
    <hyperlink r:id="rId4998" ref="A2500"/>
    <hyperlink r:id="rId4999" ref="B2500"/>
    <hyperlink r:id="rId5000" ref="A2501"/>
    <hyperlink r:id="rId5001" ref="B2501"/>
    <hyperlink r:id="rId5002" ref="A2502"/>
    <hyperlink r:id="rId5003" ref="B2502"/>
    <hyperlink r:id="rId5004" ref="A2503"/>
    <hyperlink r:id="rId5005" ref="B2503"/>
    <hyperlink r:id="rId5006" ref="A2504"/>
    <hyperlink r:id="rId5007" ref="B2504"/>
    <hyperlink r:id="rId5008" ref="A2505"/>
    <hyperlink r:id="rId5009" ref="B2505"/>
    <hyperlink r:id="rId5010" ref="A2506"/>
    <hyperlink r:id="rId5011" ref="B2506"/>
    <hyperlink r:id="rId5012" ref="A2507"/>
    <hyperlink r:id="rId5013" ref="B2507"/>
    <hyperlink r:id="rId5014" ref="A2508"/>
    <hyperlink r:id="rId5015" ref="B2508"/>
    <hyperlink r:id="rId5016" ref="A2509"/>
    <hyperlink r:id="rId5017" ref="B2509"/>
    <hyperlink r:id="rId5018" ref="A2510"/>
    <hyperlink r:id="rId5019" ref="B2510"/>
    <hyperlink r:id="rId5020" ref="A2511"/>
    <hyperlink r:id="rId5021" ref="B2511"/>
    <hyperlink r:id="rId5022" ref="A2512"/>
    <hyperlink r:id="rId5023" ref="B2512"/>
    <hyperlink r:id="rId5024" ref="A2513"/>
    <hyperlink r:id="rId5025" ref="B2513"/>
    <hyperlink r:id="rId5026" ref="A2514"/>
    <hyperlink r:id="rId5027" ref="B2514"/>
    <hyperlink r:id="rId5028" ref="A2515"/>
    <hyperlink r:id="rId5029" ref="B2515"/>
    <hyperlink r:id="rId5030" ref="A2516"/>
    <hyperlink r:id="rId5031" ref="B2516"/>
    <hyperlink r:id="rId5032" ref="A2517"/>
    <hyperlink r:id="rId5033" ref="B2517"/>
    <hyperlink r:id="rId5034" ref="A2518"/>
    <hyperlink r:id="rId5035" ref="B2518"/>
    <hyperlink r:id="rId5036" ref="A2519"/>
    <hyperlink r:id="rId5037" ref="B2519"/>
    <hyperlink r:id="rId5038" ref="A2520"/>
    <hyperlink r:id="rId5039" ref="B2520"/>
    <hyperlink r:id="rId5040" ref="A2521"/>
    <hyperlink r:id="rId5041" ref="B2521"/>
    <hyperlink r:id="rId5042" ref="A2522"/>
    <hyperlink r:id="rId5043" ref="B2522"/>
    <hyperlink r:id="rId5044" ref="A2523"/>
    <hyperlink r:id="rId5045" ref="B2523"/>
    <hyperlink r:id="rId5046" ref="A2524"/>
    <hyperlink r:id="rId5047" ref="B2524"/>
    <hyperlink r:id="rId5048" ref="A2525"/>
    <hyperlink r:id="rId5049" ref="B2525"/>
    <hyperlink r:id="rId5050" ref="A2526"/>
    <hyperlink r:id="rId5051" ref="B2526"/>
    <hyperlink r:id="rId5052" ref="A2527"/>
    <hyperlink r:id="rId5053" ref="B2527"/>
    <hyperlink r:id="rId5054" ref="A2528"/>
    <hyperlink r:id="rId5055" ref="B2528"/>
    <hyperlink r:id="rId5056" ref="A2529"/>
    <hyperlink r:id="rId5057" ref="B2529"/>
    <hyperlink r:id="rId5058" ref="A2530"/>
    <hyperlink r:id="rId5059" ref="B2530"/>
    <hyperlink r:id="rId5060" ref="A2531"/>
    <hyperlink r:id="rId5061" ref="B2531"/>
    <hyperlink r:id="rId5062" ref="A2532"/>
    <hyperlink r:id="rId5063" ref="B2532"/>
    <hyperlink r:id="rId5064" ref="A2533"/>
    <hyperlink r:id="rId5065" ref="B2533"/>
    <hyperlink r:id="rId5066" ref="A2534"/>
    <hyperlink r:id="rId5067" ref="B2534"/>
    <hyperlink r:id="rId5068" ref="A2535"/>
    <hyperlink r:id="rId5069" ref="B2535"/>
    <hyperlink r:id="rId5070" ref="A2536"/>
    <hyperlink r:id="rId5071" ref="B2536"/>
    <hyperlink r:id="rId5072" ref="A2537"/>
    <hyperlink r:id="rId5073" ref="B2537"/>
    <hyperlink r:id="rId5074" ref="A2538"/>
    <hyperlink r:id="rId5075" ref="B2538"/>
    <hyperlink r:id="rId5076" ref="A2539"/>
    <hyperlink r:id="rId5077" ref="B2539"/>
    <hyperlink r:id="rId5078" ref="A2540"/>
    <hyperlink r:id="rId5079" ref="B2540"/>
    <hyperlink r:id="rId5080" ref="A2541"/>
    <hyperlink r:id="rId5081" ref="B2541"/>
    <hyperlink r:id="rId5082" ref="A2542"/>
    <hyperlink r:id="rId5083" ref="B2542"/>
    <hyperlink r:id="rId5084" ref="A2543"/>
    <hyperlink r:id="rId5085" ref="B2543"/>
    <hyperlink r:id="rId5086" ref="A2544"/>
    <hyperlink r:id="rId5087" ref="B2544"/>
    <hyperlink r:id="rId5088" ref="A2545"/>
    <hyperlink r:id="rId5089" ref="B2545"/>
    <hyperlink r:id="rId5090" ref="A2546"/>
    <hyperlink r:id="rId5091" ref="B2546"/>
    <hyperlink r:id="rId5092" ref="A2547"/>
    <hyperlink r:id="rId5093" ref="B2547"/>
    <hyperlink r:id="rId5094" ref="A2548"/>
    <hyperlink r:id="rId5095" ref="B2548"/>
    <hyperlink r:id="rId5096" ref="A2549"/>
    <hyperlink r:id="rId5097" ref="B2549"/>
    <hyperlink r:id="rId5098" ref="A2550"/>
    <hyperlink r:id="rId5099" ref="B2550"/>
    <hyperlink r:id="rId5100" ref="A2551"/>
    <hyperlink r:id="rId5101" ref="B2551"/>
    <hyperlink r:id="rId5102" ref="A2552"/>
    <hyperlink r:id="rId5103" ref="B2552"/>
    <hyperlink r:id="rId5104" ref="A2553"/>
    <hyperlink r:id="rId5105" ref="B2553"/>
    <hyperlink r:id="rId5106" ref="A2554"/>
    <hyperlink r:id="rId5107" ref="B2554"/>
    <hyperlink r:id="rId5108" ref="A2555"/>
    <hyperlink r:id="rId5109" ref="B2555"/>
    <hyperlink r:id="rId5110" ref="A2556"/>
    <hyperlink r:id="rId5111" ref="B2556"/>
    <hyperlink r:id="rId5112" ref="A2557"/>
    <hyperlink r:id="rId5113" ref="B2557"/>
    <hyperlink r:id="rId5114" ref="A2558"/>
    <hyperlink r:id="rId5115" ref="B2558"/>
    <hyperlink r:id="rId5116" ref="A2559"/>
    <hyperlink r:id="rId5117" ref="B2559"/>
    <hyperlink r:id="rId5118" ref="A2560"/>
    <hyperlink r:id="rId5119" ref="B2560"/>
    <hyperlink r:id="rId5120" ref="A2561"/>
    <hyperlink r:id="rId5121" ref="B2561"/>
    <hyperlink r:id="rId5122" ref="A2562"/>
    <hyperlink r:id="rId5123" ref="B2562"/>
    <hyperlink r:id="rId5124" ref="A2563"/>
    <hyperlink r:id="rId5125" ref="B2563"/>
    <hyperlink r:id="rId5126" ref="A2564"/>
    <hyperlink r:id="rId5127" ref="B2564"/>
    <hyperlink r:id="rId5128" ref="A2565"/>
    <hyperlink r:id="rId5129" ref="B2565"/>
    <hyperlink r:id="rId5130" ref="A2566"/>
    <hyperlink r:id="rId5131" ref="B2566"/>
    <hyperlink r:id="rId5132" ref="A2567"/>
    <hyperlink r:id="rId5133" ref="B2567"/>
    <hyperlink r:id="rId5134" ref="A2568"/>
    <hyperlink r:id="rId5135" ref="B2568"/>
    <hyperlink r:id="rId5136" ref="A2569"/>
    <hyperlink r:id="rId5137" ref="B2569"/>
    <hyperlink r:id="rId5138" ref="A2570"/>
    <hyperlink r:id="rId5139" ref="B2570"/>
    <hyperlink r:id="rId5140" ref="A2571"/>
    <hyperlink r:id="rId5141" ref="B2571"/>
    <hyperlink r:id="rId5142" ref="A2572"/>
    <hyperlink r:id="rId5143" ref="B2572"/>
    <hyperlink r:id="rId5144" ref="A2573"/>
    <hyperlink r:id="rId5145" ref="B2573"/>
    <hyperlink r:id="rId5146" ref="A2574"/>
    <hyperlink r:id="rId5147" ref="B2574"/>
    <hyperlink r:id="rId5148" ref="A2575"/>
    <hyperlink r:id="rId5149" ref="B2575"/>
    <hyperlink r:id="rId5150" ref="A2576"/>
    <hyperlink r:id="rId5151" ref="B2576"/>
    <hyperlink r:id="rId5152" ref="A2577"/>
    <hyperlink r:id="rId5153" ref="B2577"/>
    <hyperlink r:id="rId5154" ref="A2578"/>
    <hyperlink r:id="rId5155" ref="B2578"/>
    <hyperlink r:id="rId5156" ref="A2579"/>
    <hyperlink r:id="rId5157" ref="B2579"/>
    <hyperlink r:id="rId5158" ref="A2580"/>
    <hyperlink r:id="rId5159" ref="B2580"/>
    <hyperlink r:id="rId5160" ref="A2581"/>
    <hyperlink r:id="rId5161" ref="B2581"/>
    <hyperlink r:id="rId5162" ref="A2582"/>
    <hyperlink r:id="rId5163" ref="B2582"/>
    <hyperlink r:id="rId5164" ref="A2583"/>
    <hyperlink r:id="rId5165" ref="B2583"/>
    <hyperlink r:id="rId5166" ref="A2584"/>
    <hyperlink r:id="rId5167" ref="B2584"/>
    <hyperlink r:id="rId5168" ref="A2585"/>
    <hyperlink r:id="rId5169" ref="B2585"/>
    <hyperlink r:id="rId5170" ref="A2586"/>
    <hyperlink r:id="rId5171" ref="B2586"/>
    <hyperlink r:id="rId5172" ref="A2587"/>
    <hyperlink r:id="rId5173" ref="B2587"/>
    <hyperlink r:id="rId5174" ref="A2588"/>
    <hyperlink r:id="rId5175" ref="B2588"/>
    <hyperlink r:id="rId5176" ref="A2589"/>
    <hyperlink r:id="rId5177" ref="B2589"/>
    <hyperlink r:id="rId5178" ref="A2590"/>
    <hyperlink r:id="rId5179" ref="B2590"/>
    <hyperlink r:id="rId5180" ref="A2591"/>
    <hyperlink r:id="rId5181" ref="B2591"/>
    <hyperlink r:id="rId5182" ref="A2592"/>
    <hyperlink r:id="rId5183" ref="B2592"/>
    <hyperlink r:id="rId5184" ref="A2593"/>
    <hyperlink r:id="rId5185" ref="B2593"/>
    <hyperlink r:id="rId5186" ref="A2594"/>
    <hyperlink r:id="rId5187" ref="B2594"/>
    <hyperlink r:id="rId5188" ref="A2595"/>
    <hyperlink r:id="rId5189" ref="B2595"/>
    <hyperlink r:id="rId5190" ref="A2596"/>
    <hyperlink r:id="rId5191" ref="B2596"/>
    <hyperlink r:id="rId5192" ref="A2597"/>
    <hyperlink r:id="rId5193" ref="B2597"/>
    <hyperlink r:id="rId5194" ref="A2598"/>
    <hyperlink r:id="rId5195" ref="B2598"/>
    <hyperlink r:id="rId5196" ref="A2599"/>
    <hyperlink r:id="rId5197" ref="B2599"/>
    <hyperlink r:id="rId5198" ref="A2600"/>
    <hyperlink r:id="rId5199" ref="B2600"/>
    <hyperlink r:id="rId5200" ref="A2601"/>
    <hyperlink r:id="rId5201" ref="B2601"/>
    <hyperlink r:id="rId5202" ref="A2602"/>
    <hyperlink r:id="rId5203" ref="B2602"/>
    <hyperlink r:id="rId5204" ref="A2603"/>
    <hyperlink r:id="rId5205" ref="B2603"/>
    <hyperlink r:id="rId5206" ref="A2604"/>
    <hyperlink r:id="rId5207" ref="B2604"/>
    <hyperlink r:id="rId5208" ref="A2605"/>
    <hyperlink r:id="rId5209" ref="B2605"/>
    <hyperlink r:id="rId5210" ref="A2606"/>
    <hyperlink r:id="rId5211" ref="B2606"/>
    <hyperlink r:id="rId5212" ref="A2607"/>
    <hyperlink r:id="rId5213" ref="B2607"/>
    <hyperlink r:id="rId5214" ref="A2608"/>
    <hyperlink r:id="rId5215" ref="B2608"/>
    <hyperlink r:id="rId5216" ref="A2609"/>
    <hyperlink r:id="rId5217" ref="B2609"/>
    <hyperlink r:id="rId5218" ref="A2610"/>
    <hyperlink r:id="rId5219" ref="B2610"/>
    <hyperlink r:id="rId5220" ref="A2611"/>
    <hyperlink r:id="rId5221" ref="B2611"/>
    <hyperlink r:id="rId5222" ref="A2612"/>
    <hyperlink r:id="rId5223" ref="B2612"/>
    <hyperlink r:id="rId5224" ref="A2613"/>
    <hyperlink r:id="rId5225" ref="B2613"/>
    <hyperlink r:id="rId5226" ref="A2614"/>
    <hyperlink r:id="rId5227" ref="B2614"/>
    <hyperlink r:id="rId5228" ref="A2615"/>
    <hyperlink r:id="rId5229" ref="B2615"/>
    <hyperlink r:id="rId5230" ref="A2616"/>
    <hyperlink r:id="rId5231" ref="B2616"/>
    <hyperlink r:id="rId5232" ref="A2617"/>
    <hyperlink r:id="rId5233" ref="B2617"/>
    <hyperlink r:id="rId5234" ref="A2618"/>
    <hyperlink r:id="rId5235" ref="B2618"/>
    <hyperlink r:id="rId5236" ref="A2619"/>
    <hyperlink r:id="rId5237" ref="B2619"/>
    <hyperlink r:id="rId5238" ref="A2620"/>
    <hyperlink r:id="rId5239" ref="B2620"/>
    <hyperlink r:id="rId5240" ref="A2621"/>
    <hyperlink r:id="rId5241" ref="B2621"/>
    <hyperlink r:id="rId5242" ref="A2622"/>
    <hyperlink r:id="rId5243" ref="B2622"/>
    <hyperlink r:id="rId5244" ref="A2623"/>
    <hyperlink r:id="rId5245" ref="B2623"/>
    <hyperlink r:id="rId5246" ref="A2624"/>
    <hyperlink r:id="rId5247" ref="B2624"/>
    <hyperlink r:id="rId5248" ref="A2625"/>
    <hyperlink r:id="rId5249" ref="B2625"/>
    <hyperlink r:id="rId5250" ref="A2626"/>
    <hyperlink r:id="rId5251" ref="B2626"/>
    <hyperlink r:id="rId5252" ref="A2627"/>
    <hyperlink r:id="rId5253" ref="B2627"/>
    <hyperlink r:id="rId5254" ref="A2628"/>
    <hyperlink r:id="rId5255" ref="B2628"/>
    <hyperlink r:id="rId5256" ref="A2629"/>
    <hyperlink r:id="rId5257" ref="B2629"/>
    <hyperlink r:id="rId5258" ref="A2630"/>
    <hyperlink r:id="rId5259" ref="B2630"/>
    <hyperlink r:id="rId5260" ref="A2631"/>
    <hyperlink r:id="rId5261" ref="B2631"/>
    <hyperlink r:id="rId5262" ref="A2632"/>
    <hyperlink r:id="rId5263" ref="B2632"/>
    <hyperlink r:id="rId5264" ref="A2633"/>
    <hyperlink r:id="rId5265" ref="B2633"/>
    <hyperlink r:id="rId5266" ref="A2634"/>
    <hyperlink r:id="rId5267" ref="B2634"/>
    <hyperlink r:id="rId5268" ref="A2635"/>
    <hyperlink r:id="rId5269" ref="B2635"/>
    <hyperlink r:id="rId5270" ref="A2636"/>
    <hyperlink r:id="rId5271" ref="B2636"/>
    <hyperlink r:id="rId5272" ref="A2637"/>
    <hyperlink r:id="rId5273" ref="B2637"/>
    <hyperlink r:id="rId5274" ref="A2638"/>
    <hyperlink r:id="rId5275" ref="B2638"/>
    <hyperlink r:id="rId5276" ref="A2639"/>
    <hyperlink r:id="rId5277" ref="B2639"/>
    <hyperlink r:id="rId5278" ref="A2640"/>
    <hyperlink r:id="rId5279" ref="B2640"/>
    <hyperlink r:id="rId5280" ref="A2641"/>
    <hyperlink r:id="rId5281" ref="B2641"/>
    <hyperlink r:id="rId5282" ref="A2642"/>
    <hyperlink r:id="rId5283" ref="B2642"/>
    <hyperlink r:id="rId5284" ref="A2643"/>
    <hyperlink r:id="rId5285" ref="B2643"/>
    <hyperlink r:id="rId5286" ref="A2644"/>
    <hyperlink r:id="rId5287" ref="B2644"/>
    <hyperlink r:id="rId5288" ref="A2645"/>
    <hyperlink r:id="rId5289" ref="B2645"/>
    <hyperlink r:id="rId5290" ref="A2646"/>
    <hyperlink r:id="rId5291" ref="B2646"/>
    <hyperlink r:id="rId5292" ref="A2647"/>
    <hyperlink r:id="rId5293" ref="B2647"/>
    <hyperlink r:id="rId5294" ref="A2648"/>
    <hyperlink r:id="rId5295" ref="B2648"/>
    <hyperlink r:id="rId5296" ref="A2649"/>
    <hyperlink r:id="rId5297" ref="B2649"/>
    <hyperlink r:id="rId5298" ref="A2650"/>
    <hyperlink r:id="rId5299" ref="B2650"/>
    <hyperlink r:id="rId5300" ref="A2651"/>
    <hyperlink r:id="rId5301" ref="B2651"/>
    <hyperlink r:id="rId5302" ref="A2652"/>
    <hyperlink r:id="rId5303" ref="B2652"/>
    <hyperlink r:id="rId5304" ref="A2653"/>
    <hyperlink r:id="rId5305" ref="B2653"/>
    <hyperlink r:id="rId5306" ref="A2654"/>
    <hyperlink r:id="rId5307" ref="B2654"/>
    <hyperlink r:id="rId5308" ref="A2655"/>
    <hyperlink r:id="rId5309" ref="B2655"/>
    <hyperlink r:id="rId5310" ref="A2656"/>
    <hyperlink r:id="rId5311" ref="B2656"/>
    <hyperlink r:id="rId5312" ref="A2657"/>
    <hyperlink r:id="rId5313" ref="B2657"/>
    <hyperlink r:id="rId5314" ref="A2658"/>
    <hyperlink r:id="rId5315" ref="B2658"/>
    <hyperlink r:id="rId5316" ref="A2659"/>
    <hyperlink r:id="rId5317" ref="B2659"/>
    <hyperlink r:id="rId5318" ref="A2660"/>
    <hyperlink r:id="rId5319" ref="B2660"/>
    <hyperlink r:id="rId5320" ref="A2661"/>
    <hyperlink r:id="rId5321" ref="B2661"/>
    <hyperlink r:id="rId5322" ref="A2662"/>
    <hyperlink r:id="rId5323" ref="B2662"/>
    <hyperlink r:id="rId5324" ref="A2663"/>
    <hyperlink r:id="rId5325" ref="B2663"/>
    <hyperlink r:id="rId5326" ref="A2664"/>
    <hyperlink r:id="rId5327" ref="B2664"/>
    <hyperlink r:id="rId5328" ref="A2665"/>
    <hyperlink r:id="rId5329" ref="B2665"/>
    <hyperlink r:id="rId5330" ref="A2666"/>
    <hyperlink r:id="rId5331" ref="B2666"/>
    <hyperlink r:id="rId5332" ref="A2667"/>
    <hyperlink r:id="rId5333" ref="B2667"/>
    <hyperlink r:id="rId5334" ref="A2668"/>
    <hyperlink r:id="rId5335" ref="B2668"/>
    <hyperlink r:id="rId5336" ref="A2669"/>
    <hyperlink r:id="rId5337" ref="B2669"/>
    <hyperlink r:id="rId5338" ref="A2670"/>
    <hyperlink r:id="rId5339" ref="B2670"/>
    <hyperlink r:id="rId5340" ref="A2671"/>
    <hyperlink r:id="rId5341" ref="B2671"/>
    <hyperlink r:id="rId5342" ref="A2672"/>
    <hyperlink r:id="rId5343" ref="B2672"/>
    <hyperlink r:id="rId5344" ref="A2673"/>
    <hyperlink r:id="rId5345" ref="B2673"/>
    <hyperlink r:id="rId5346" ref="A2674"/>
    <hyperlink r:id="rId5347" ref="B2674"/>
    <hyperlink r:id="rId5348" ref="A2675"/>
    <hyperlink r:id="rId5349" ref="B2675"/>
    <hyperlink r:id="rId5350" ref="A2676"/>
    <hyperlink r:id="rId5351" ref="B2676"/>
    <hyperlink r:id="rId5352" ref="A2677"/>
    <hyperlink r:id="rId5353" ref="B2677"/>
    <hyperlink r:id="rId5354" ref="A2678"/>
    <hyperlink r:id="rId5355" ref="B2678"/>
    <hyperlink r:id="rId5356" ref="A2679"/>
    <hyperlink r:id="rId5357" ref="B2679"/>
    <hyperlink r:id="rId5358" ref="A2680"/>
    <hyperlink r:id="rId5359" ref="B2680"/>
    <hyperlink r:id="rId5360" ref="A2681"/>
    <hyperlink r:id="rId5361" ref="B2681"/>
    <hyperlink r:id="rId5362" ref="A2682"/>
    <hyperlink r:id="rId5363" ref="B2682"/>
    <hyperlink r:id="rId5364" ref="A2683"/>
    <hyperlink r:id="rId5365" ref="B2683"/>
    <hyperlink r:id="rId5366" ref="A2684"/>
    <hyperlink r:id="rId5367" ref="B2684"/>
    <hyperlink r:id="rId5368" ref="A2685"/>
    <hyperlink r:id="rId5369" ref="B2685"/>
    <hyperlink r:id="rId5370" ref="A2686"/>
    <hyperlink r:id="rId5371" ref="B2686"/>
    <hyperlink r:id="rId5372" ref="A2687"/>
    <hyperlink r:id="rId5373" ref="B2687"/>
    <hyperlink r:id="rId5374" ref="A2688"/>
    <hyperlink r:id="rId5375" ref="B2688"/>
    <hyperlink r:id="rId5376" ref="A2689"/>
    <hyperlink r:id="rId5377" ref="B2689"/>
    <hyperlink r:id="rId5378" ref="A2690"/>
    <hyperlink r:id="rId5379" ref="B2690"/>
    <hyperlink r:id="rId5380" ref="A2691"/>
    <hyperlink r:id="rId5381" ref="B2691"/>
    <hyperlink r:id="rId5382" ref="A2692"/>
    <hyperlink r:id="rId5383" ref="B2692"/>
    <hyperlink r:id="rId5384" ref="A2693"/>
    <hyperlink r:id="rId5385" ref="B2693"/>
    <hyperlink r:id="rId5386" ref="A2694"/>
    <hyperlink r:id="rId5387" ref="B2694"/>
    <hyperlink r:id="rId5388" ref="A2695"/>
    <hyperlink r:id="rId5389" ref="B2695"/>
    <hyperlink r:id="rId5390" ref="A2696"/>
    <hyperlink r:id="rId5391" ref="B2696"/>
    <hyperlink r:id="rId5392" ref="A2697"/>
    <hyperlink r:id="rId5393" ref="B2697"/>
    <hyperlink r:id="rId5394" ref="A2698"/>
    <hyperlink r:id="rId5395" ref="B2698"/>
    <hyperlink r:id="rId5396" ref="A2699"/>
    <hyperlink r:id="rId5397" ref="B2699"/>
    <hyperlink r:id="rId5398" ref="A2700"/>
    <hyperlink r:id="rId5399" ref="B2700"/>
    <hyperlink r:id="rId5400" ref="A2701"/>
    <hyperlink r:id="rId5401" ref="B2701"/>
    <hyperlink r:id="rId5402" ref="A2702"/>
    <hyperlink r:id="rId5403" ref="B2702"/>
    <hyperlink r:id="rId5404" ref="A2703"/>
    <hyperlink r:id="rId5405" ref="B2703"/>
    <hyperlink r:id="rId5406" ref="A2704"/>
    <hyperlink r:id="rId5407" ref="B2704"/>
    <hyperlink r:id="rId5408" ref="A2705"/>
    <hyperlink r:id="rId5409" ref="B2705"/>
    <hyperlink r:id="rId5410" ref="A2706"/>
    <hyperlink r:id="rId5411" ref="B2706"/>
    <hyperlink r:id="rId5412" ref="A2707"/>
    <hyperlink r:id="rId5413" ref="B2707"/>
    <hyperlink r:id="rId5414" ref="A2708"/>
    <hyperlink r:id="rId5415" ref="B2708"/>
    <hyperlink r:id="rId5416" ref="A2709"/>
    <hyperlink r:id="rId5417" ref="B2709"/>
    <hyperlink r:id="rId5418" ref="A2710"/>
    <hyperlink r:id="rId5419" ref="B2710"/>
    <hyperlink r:id="rId5420" ref="A2711"/>
    <hyperlink r:id="rId5421" ref="B2711"/>
    <hyperlink r:id="rId5422" ref="A2712"/>
    <hyperlink r:id="rId5423" ref="B2712"/>
    <hyperlink r:id="rId5424" ref="A2713"/>
    <hyperlink r:id="rId5425" ref="B2713"/>
    <hyperlink r:id="rId5426" ref="A2714"/>
    <hyperlink r:id="rId5427" ref="B2714"/>
    <hyperlink r:id="rId5428" ref="A2715"/>
    <hyperlink r:id="rId5429" ref="B2715"/>
    <hyperlink r:id="rId5430" ref="A2716"/>
    <hyperlink r:id="rId5431" ref="B2716"/>
    <hyperlink r:id="rId5432" ref="A2717"/>
    <hyperlink r:id="rId5433" ref="B2717"/>
    <hyperlink r:id="rId5434" ref="A2718"/>
    <hyperlink r:id="rId5435" ref="B2718"/>
    <hyperlink r:id="rId5436" ref="A2719"/>
    <hyperlink r:id="rId5437" ref="B2719"/>
    <hyperlink r:id="rId5438" ref="A2720"/>
    <hyperlink r:id="rId5439" ref="B2720"/>
    <hyperlink r:id="rId5440" ref="A2721"/>
    <hyperlink r:id="rId5441" ref="B2721"/>
    <hyperlink r:id="rId5442" ref="A2722"/>
    <hyperlink r:id="rId5443" ref="B2722"/>
    <hyperlink r:id="rId5444" ref="A2723"/>
    <hyperlink r:id="rId5445" ref="B2723"/>
    <hyperlink r:id="rId5446" ref="A2724"/>
    <hyperlink r:id="rId5447" ref="B2724"/>
    <hyperlink r:id="rId5448" ref="A2725"/>
    <hyperlink r:id="rId5449" ref="B2725"/>
    <hyperlink r:id="rId5450" ref="A2726"/>
    <hyperlink r:id="rId5451" ref="B2726"/>
    <hyperlink r:id="rId5452" ref="A2727"/>
    <hyperlink r:id="rId5453" ref="B2727"/>
    <hyperlink r:id="rId5454" ref="A2728"/>
    <hyperlink r:id="rId5455" ref="B2728"/>
    <hyperlink r:id="rId5456" ref="A2729"/>
    <hyperlink r:id="rId5457" ref="B2729"/>
    <hyperlink r:id="rId5458" ref="A2730"/>
    <hyperlink r:id="rId5459" ref="B2730"/>
    <hyperlink r:id="rId5460" ref="A2731"/>
    <hyperlink r:id="rId5461" ref="B2731"/>
    <hyperlink r:id="rId5462" ref="A2732"/>
    <hyperlink r:id="rId5463" ref="B2732"/>
    <hyperlink r:id="rId5464" ref="A2733"/>
    <hyperlink r:id="rId5465" ref="B2733"/>
    <hyperlink r:id="rId5466" ref="A2734"/>
    <hyperlink r:id="rId5467" ref="B2734"/>
    <hyperlink r:id="rId5468" ref="A2735"/>
    <hyperlink r:id="rId5469" ref="B2735"/>
    <hyperlink r:id="rId5470" ref="A2736"/>
    <hyperlink r:id="rId5471" ref="B2736"/>
    <hyperlink r:id="rId5472" ref="A2737"/>
    <hyperlink r:id="rId5473" ref="B2737"/>
    <hyperlink r:id="rId5474" ref="A2738"/>
    <hyperlink r:id="rId5475" ref="B2738"/>
    <hyperlink r:id="rId5476" ref="A2739"/>
    <hyperlink r:id="rId5477" ref="B2739"/>
    <hyperlink r:id="rId5478" ref="A2740"/>
    <hyperlink r:id="rId5479" ref="B2740"/>
    <hyperlink r:id="rId5480" ref="A2741"/>
    <hyperlink r:id="rId5481" ref="B2741"/>
    <hyperlink r:id="rId5482" ref="A2742"/>
    <hyperlink r:id="rId5483" ref="B2742"/>
    <hyperlink r:id="rId5484" ref="A2743"/>
    <hyperlink r:id="rId5485" ref="B2743"/>
    <hyperlink r:id="rId5486" ref="A2744"/>
    <hyperlink r:id="rId5487" ref="B2744"/>
    <hyperlink r:id="rId5488" ref="A2745"/>
    <hyperlink r:id="rId5489" ref="B2745"/>
    <hyperlink r:id="rId5490" ref="A2746"/>
    <hyperlink r:id="rId5491" ref="B2746"/>
    <hyperlink r:id="rId5492" ref="A2747"/>
    <hyperlink r:id="rId5493" ref="B2747"/>
    <hyperlink r:id="rId5494" ref="A2748"/>
    <hyperlink r:id="rId5495" ref="B2748"/>
    <hyperlink r:id="rId5496" ref="A2749"/>
    <hyperlink r:id="rId5497" ref="B2749"/>
    <hyperlink r:id="rId5498" ref="A2750"/>
    <hyperlink r:id="rId5499" ref="B2750"/>
    <hyperlink r:id="rId5500" ref="A2751"/>
    <hyperlink r:id="rId5501" ref="B2751"/>
    <hyperlink r:id="rId5502" ref="A2752"/>
    <hyperlink r:id="rId5503" ref="B2752"/>
    <hyperlink r:id="rId5504" ref="A2753"/>
    <hyperlink r:id="rId5505" ref="B2753"/>
    <hyperlink r:id="rId5506" ref="A2754"/>
    <hyperlink r:id="rId5507" ref="B2754"/>
    <hyperlink r:id="rId5508" ref="A2755"/>
    <hyperlink r:id="rId5509" ref="B2755"/>
    <hyperlink r:id="rId5510" ref="A2756"/>
    <hyperlink r:id="rId5511" ref="B2756"/>
    <hyperlink r:id="rId5512" ref="A2757"/>
    <hyperlink r:id="rId5513" ref="B2757"/>
    <hyperlink r:id="rId5514" ref="A2758"/>
    <hyperlink r:id="rId5515" ref="B2758"/>
    <hyperlink r:id="rId5516" ref="A2759"/>
    <hyperlink r:id="rId5517" ref="B2759"/>
    <hyperlink r:id="rId5518" ref="A2760"/>
    <hyperlink r:id="rId5519" ref="B2760"/>
    <hyperlink r:id="rId5520" ref="A2761"/>
    <hyperlink r:id="rId5521" ref="B2761"/>
    <hyperlink r:id="rId5522" ref="A2762"/>
    <hyperlink r:id="rId5523" ref="B2762"/>
    <hyperlink r:id="rId5524" ref="A2763"/>
    <hyperlink r:id="rId5525" ref="B2763"/>
    <hyperlink r:id="rId5526" ref="A2764"/>
    <hyperlink r:id="rId5527" ref="B2764"/>
    <hyperlink r:id="rId5528" ref="A2765"/>
    <hyperlink r:id="rId5529" ref="B2765"/>
    <hyperlink r:id="rId5530" ref="A2766"/>
    <hyperlink r:id="rId5531" ref="B2766"/>
    <hyperlink r:id="rId5532" ref="A2767"/>
    <hyperlink r:id="rId5533" ref="B2767"/>
    <hyperlink r:id="rId5534" ref="A2768"/>
    <hyperlink r:id="rId5535" ref="B2768"/>
    <hyperlink r:id="rId5536" ref="A2769"/>
    <hyperlink r:id="rId5537" ref="B2769"/>
    <hyperlink r:id="rId5538" ref="A2770"/>
    <hyperlink r:id="rId5539" ref="B2770"/>
    <hyperlink r:id="rId5540" ref="A2771"/>
    <hyperlink r:id="rId5541" ref="B2771"/>
    <hyperlink r:id="rId5542" ref="A2772"/>
    <hyperlink r:id="rId5543" ref="B2772"/>
    <hyperlink r:id="rId5544" ref="A2773"/>
    <hyperlink r:id="rId5545" ref="B2773"/>
    <hyperlink r:id="rId5546" ref="A2774"/>
    <hyperlink r:id="rId5547" ref="B2774"/>
    <hyperlink r:id="rId5548" ref="A2775"/>
    <hyperlink r:id="rId5549" ref="B2775"/>
    <hyperlink r:id="rId5550" ref="A2776"/>
    <hyperlink r:id="rId5551" ref="B2776"/>
    <hyperlink r:id="rId5552" ref="A2777"/>
    <hyperlink r:id="rId5553" ref="B2777"/>
    <hyperlink r:id="rId5554" ref="A2778"/>
    <hyperlink r:id="rId5555" ref="B2778"/>
    <hyperlink r:id="rId5556" ref="A2779"/>
    <hyperlink r:id="rId5557" ref="B2779"/>
    <hyperlink r:id="rId5558" ref="A2780"/>
    <hyperlink r:id="rId5559" ref="B2780"/>
    <hyperlink r:id="rId5560" ref="A2781"/>
    <hyperlink r:id="rId5561" ref="B2781"/>
    <hyperlink r:id="rId5562" ref="A2782"/>
    <hyperlink r:id="rId5563" ref="B2782"/>
    <hyperlink r:id="rId5564" ref="A2783"/>
    <hyperlink r:id="rId5565" ref="B2783"/>
    <hyperlink r:id="rId5566" ref="A2784"/>
    <hyperlink r:id="rId5567" ref="B2784"/>
    <hyperlink r:id="rId5568" ref="A2785"/>
    <hyperlink r:id="rId5569" ref="B2785"/>
    <hyperlink r:id="rId5570" ref="A2786"/>
    <hyperlink r:id="rId5571" ref="B2786"/>
    <hyperlink r:id="rId5572" ref="A2787"/>
    <hyperlink r:id="rId5573" ref="B2787"/>
    <hyperlink r:id="rId5574" ref="A2788"/>
    <hyperlink r:id="rId5575" ref="B2788"/>
    <hyperlink r:id="rId5576" ref="A2789"/>
    <hyperlink r:id="rId5577" ref="B2789"/>
    <hyperlink r:id="rId5578" ref="A2790"/>
    <hyperlink r:id="rId5579" ref="B2790"/>
    <hyperlink r:id="rId5580" ref="A2791"/>
    <hyperlink r:id="rId5581" ref="B2791"/>
    <hyperlink r:id="rId5582" ref="A2792"/>
    <hyperlink r:id="rId5583" ref="B2792"/>
    <hyperlink r:id="rId5584" ref="A2793"/>
    <hyperlink r:id="rId5585" ref="B2793"/>
    <hyperlink r:id="rId5586" ref="A2794"/>
    <hyperlink r:id="rId5587" ref="B2794"/>
    <hyperlink r:id="rId5588" ref="A2795"/>
    <hyperlink r:id="rId5589" ref="B2795"/>
    <hyperlink r:id="rId5590" ref="A2796"/>
    <hyperlink r:id="rId5591" ref="B2796"/>
    <hyperlink r:id="rId5592" ref="A2797"/>
    <hyperlink r:id="rId5593" ref="B2797"/>
    <hyperlink r:id="rId5594" ref="A2798"/>
    <hyperlink r:id="rId5595" ref="B2798"/>
    <hyperlink r:id="rId5596" ref="A2799"/>
    <hyperlink r:id="rId5597" ref="B2799"/>
    <hyperlink r:id="rId5598" ref="A2800"/>
    <hyperlink r:id="rId5599" ref="B2800"/>
    <hyperlink r:id="rId5600" ref="A2801"/>
    <hyperlink r:id="rId5601" ref="B2801"/>
    <hyperlink r:id="rId5602" ref="A2802"/>
    <hyperlink r:id="rId5603" ref="B2802"/>
    <hyperlink r:id="rId5604" ref="A2803"/>
    <hyperlink r:id="rId5605" ref="B2803"/>
    <hyperlink r:id="rId5606" ref="A2804"/>
    <hyperlink r:id="rId5607" ref="B2804"/>
    <hyperlink r:id="rId5608" ref="A2805"/>
    <hyperlink r:id="rId5609" ref="B2805"/>
    <hyperlink r:id="rId5610" ref="A2806"/>
    <hyperlink r:id="rId5611" ref="B2806"/>
    <hyperlink r:id="rId5612" ref="A2807"/>
    <hyperlink r:id="rId5613" ref="B2807"/>
    <hyperlink r:id="rId5614" ref="A2808"/>
    <hyperlink r:id="rId5615" ref="B2808"/>
    <hyperlink r:id="rId5616" ref="A2809"/>
    <hyperlink r:id="rId5617" ref="B2809"/>
    <hyperlink r:id="rId5618" ref="A2810"/>
    <hyperlink r:id="rId5619" ref="B2810"/>
    <hyperlink r:id="rId5620" ref="A2811"/>
    <hyperlink r:id="rId5621" ref="B2811"/>
    <hyperlink r:id="rId5622" ref="A2812"/>
    <hyperlink r:id="rId5623" ref="B2812"/>
    <hyperlink r:id="rId5624" ref="A2813"/>
    <hyperlink r:id="rId5625" ref="B2813"/>
    <hyperlink r:id="rId5626" ref="A2814"/>
    <hyperlink r:id="rId5627" ref="B2814"/>
    <hyperlink r:id="rId5628" ref="A2815"/>
    <hyperlink r:id="rId5629" ref="B2815"/>
    <hyperlink r:id="rId5630" ref="A2816"/>
    <hyperlink r:id="rId5631" ref="B2816"/>
    <hyperlink r:id="rId5632" ref="A2817"/>
    <hyperlink r:id="rId5633" ref="B2817"/>
    <hyperlink r:id="rId5634" ref="A2818"/>
    <hyperlink r:id="rId5635" ref="B2818"/>
    <hyperlink r:id="rId5636" ref="A2819"/>
    <hyperlink r:id="rId5637" ref="B2819"/>
    <hyperlink r:id="rId5638" ref="A2820"/>
    <hyperlink r:id="rId5639" ref="B2820"/>
    <hyperlink r:id="rId5640" ref="A2821"/>
    <hyperlink r:id="rId5641" ref="B2821"/>
    <hyperlink r:id="rId5642" ref="A2822"/>
    <hyperlink r:id="rId5643" ref="B2822"/>
    <hyperlink r:id="rId5644" ref="A2823"/>
    <hyperlink r:id="rId5645" ref="B2823"/>
    <hyperlink r:id="rId5646" ref="A2824"/>
    <hyperlink r:id="rId5647" ref="B2824"/>
    <hyperlink r:id="rId5648" ref="A2825"/>
    <hyperlink r:id="rId5649" ref="B2825"/>
    <hyperlink r:id="rId5650" ref="A2826"/>
    <hyperlink r:id="rId5651" ref="B2826"/>
    <hyperlink r:id="rId5652" ref="A2827"/>
    <hyperlink r:id="rId5653" ref="B2827"/>
    <hyperlink r:id="rId5654" ref="A2828"/>
    <hyperlink r:id="rId5655" ref="B2828"/>
    <hyperlink r:id="rId5656" ref="A2829"/>
    <hyperlink r:id="rId5657" ref="B2829"/>
    <hyperlink r:id="rId5658" ref="A2830"/>
    <hyperlink r:id="rId5659" ref="B2830"/>
    <hyperlink r:id="rId5660" ref="A2831"/>
    <hyperlink r:id="rId5661" ref="B2831"/>
    <hyperlink r:id="rId5662" ref="A2832"/>
    <hyperlink r:id="rId5663" ref="B2832"/>
    <hyperlink r:id="rId5664" ref="A2833"/>
    <hyperlink r:id="rId5665" ref="B2833"/>
    <hyperlink r:id="rId5666" ref="A2834"/>
    <hyperlink r:id="rId5667" ref="B2834"/>
    <hyperlink r:id="rId5668" ref="A2835"/>
    <hyperlink r:id="rId5669" ref="B2835"/>
    <hyperlink r:id="rId5670" ref="A2836"/>
    <hyperlink r:id="rId5671" ref="B2836"/>
    <hyperlink r:id="rId5672" ref="A2837"/>
    <hyperlink r:id="rId5673" ref="B2837"/>
    <hyperlink r:id="rId5674" ref="A2838"/>
    <hyperlink r:id="rId5675" ref="B2838"/>
    <hyperlink r:id="rId5676" ref="A2839"/>
    <hyperlink r:id="rId5677" ref="B2839"/>
    <hyperlink r:id="rId5678" ref="A2840"/>
    <hyperlink r:id="rId5679" ref="B2840"/>
    <hyperlink r:id="rId5680" ref="A2841"/>
    <hyperlink r:id="rId5681" ref="B2841"/>
    <hyperlink r:id="rId5682" ref="A2842"/>
    <hyperlink r:id="rId5683" ref="B2842"/>
    <hyperlink r:id="rId5684" ref="A2843"/>
    <hyperlink r:id="rId5685" ref="B2843"/>
    <hyperlink r:id="rId5686" ref="A2844"/>
    <hyperlink r:id="rId5687" ref="B2844"/>
    <hyperlink r:id="rId5688" ref="A2845"/>
    <hyperlink r:id="rId5689" ref="B2845"/>
    <hyperlink r:id="rId5690" ref="A2846"/>
    <hyperlink r:id="rId5691" ref="B2846"/>
    <hyperlink r:id="rId5692" ref="A2847"/>
    <hyperlink r:id="rId5693" ref="B2847"/>
    <hyperlink r:id="rId5694" ref="A2848"/>
    <hyperlink r:id="rId5695" ref="B2848"/>
    <hyperlink r:id="rId5696" ref="A2849"/>
    <hyperlink r:id="rId5697" ref="B2849"/>
    <hyperlink r:id="rId5698" ref="A2850"/>
    <hyperlink r:id="rId5699" ref="B2850"/>
    <hyperlink r:id="rId5700" ref="A2851"/>
    <hyperlink r:id="rId5701" ref="B2851"/>
    <hyperlink r:id="rId5702" ref="A2852"/>
    <hyperlink r:id="rId5703" ref="B2852"/>
    <hyperlink r:id="rId5704" ref="A2853"/>
    <hyperlink r:id="rId5705" ref="B2853"/>
    <hyperlink r:id="rId5706" ref="A2854"/>
    <hyperlink r:id="rId5707" ref="B2854"/>
    <hyperlink r:id="rId5708" ref="A2855"/>
    <hyperlink r:id="rId5709" ref="B2855"/>
    <hyperlink r:id="rId5710" ref="A2856"/>
    <hyperlink r:id="rId5711" ref="B2856"/>
    <hyperlink r:id="rId5712" ref="A2857"/>
    <hyperlink r:id="rId5713" ref="B2857"/>
    <hyperlink r:id="rId5714" ref="A2858"/>
    <hyperlink r:id="rId5715" ref="B2858"/>
    <hyperlink r:id="rId5716" ref="A2859"/>
    <hyperlink r:id="rId5717" ref="B2859"/>
    <hyperlink r:id="rId5718" ref="A2860"/>
    <hyperlink r:id="rId5719" ref="B2860"/>
    <hyperlink r:id="rId5720" ref="A2861"/>
    <hyperlink r:id="rId5721" ref="B2861"/>
    <hyperlink r:id="rId5722" ref="A2862"/>
    <hyperlink r:id="rId5723" ref="B2862"/>
    <hyperlink r:id="rId5724" ref="A2863"/>
    <hyperlink r:id="rId5725" ref="B2863"/>
    <hyperlink r:id="rId5726" ref="A2864"/>
    <hyperlink r:id="rId5727" ref="B2864"/>
    <hyperlink r:id="rId5728" ref="A2865"/>
    <hyperlink r:id="rId5729" ref="B2865"/>
    <hyperlink r:id="rId5730" ref="A2866"/>
    <hyperlink r:id="rId5731" ref="B2866"/>
    <hyperlink r:id="rId5732" ref="A2867"/>
    <hyperlink r:id="rId5733" ref="B2867"/>
    <hyperlink r:id="rId5734" ref="A2868"/>
    <hyperlink r:id="rId5735" ref="B2868"/>
    <hyperlink r:id="rId5736" ref="A2869"/>
    <hyperlink r:id="rId5737" ref="B2869"/>
    <hyperlink r:id="rId5738" ref="A2870"/>
    <hyperlink r:id="rId5739" ref="B2870"/>
    <hyperlink r:id="rId5740" ref="A2871"/>
    <hyperlink r:id="rId5741" ref="B2871"/>
    <hyperlink r:id="rId5742" ref="A2872"/>
    <hyperlink r:id="rId5743" ref="B2872"/>
    <hyperlink r:id="rId5744" ref="A2873"/>
    <hyperlink r:id="rId5745" ref="B2873"/>
    <hyperlink r:id="rId5746" ref="A2874"/>
    <hyperlink r:id="rId5747" ref="B2874"/>
    <hyperlink r:id="rId5748" ref="A2875"/>
    <hyperlink r:id="rId5749" ref="B2875"/>
    <hyperlink r:id="rId5750" ref="A2876"/>
    <hyperlink r:id="rId5751" ref="B2876"/>
    <hyperlink r:id="rId5752" ref="A2877"/>
    <hyperlink r:id="rId5753" ref="B2877"/>
    <hyperlink r:id="rId5754" ref="A2878"/>
    <hyperlink r:id="rId5755" ref="B2878"/>
    <hyperlink r:id="rId5756" ref="A2879"/>
    <hyperlink r:id="rId5757" ref="B2879"/>
    <hyperlink r:id="rId5758" ref="A2880"/>
    <hyperlink r:id="rId5759" ref="B2880"/>
    <hyperlink r:id="rId5760" ref="A2881"/>
    <hyperlink r:id="rId5761" ref="B2881"/>
    <hyperlink r:id="rId5762" ref="A2882"/>
    <hyperlink r:id="rId5763" ref="B2882"/>
    <hyperlink r:id="rId5764" ref="A2883"/>
    <hyperlink r:id="rId5765" ref="B2883"/>
    <hyperlink r:id="rId5766" ref="A2884"/>
    <hyperlink r:id="rId5767" ref="B2884"/>
    <hyperlink r:id="rId5768" ref="A2885"/>
    <hyperlink r:id="rId5769" ref="B2885"/>
    <hyperlink r:id="rId5770" ref="A2886"/>
    <hyperlink r:id="rId5771" ref="B2886"/>
    <hyperlink r:id="rId5772" ref="A2887"/>
    <hyperlink r:id="rId5773" ref="B2887"/>
    <hyperlink r:id="rId5774" ref="A2888"/>
    <hyperlink r:id="rId5775" ref="B2888"/>
    <hyperlink r:id="rId5776" ref="A2889"/>
    <hyperlink r:id="rId5777" ref="B2889"/>
    <hyperlink r:id="rId5778" ref="A2890"/>
    <hyperlink r:id="rId5779" ref="B2890"/>
    <hyperlink r:id="rId5780" ref="A2891"/>
    <hyperlink r:id="rId5781" ref="B2891"/>
    <hyperlink r:id="rId5782" ref="A2892"/>
    <hyperlink r:id="rId5783" ref="B2892"/>
    <hyperlink r:id="rId5784" ref="A2893"/>
    <hyperlink r:id="rId5785" ref="B2893"/>
    <hyperlink r:id="rId5786" ref="A2894"/>
    <hyperlink r:id="rId5787" ref="B2894"/>
    <hyperlink r:id="rId5788" ref="A2895"/>
    <hyperlink r:id="rId5789" ref="B2895"/>
    <hyperlink r:id="rId5790" ref="A2896"/>
    <hyperlink r:id="rId5791" ref="B2896"/>
    <hyperlink r:id="rId5792" ref="A2897"/>
    <hyperlink r:id="rId5793" ref="B2897"/>
    <hyperlink r:id="rId5794" ref="A2898"/>
    <hyperlink r:id="rId5795" ref="B2898"/>
    <hyperlink r:id="rId5796" ref="A2899"/>
    <hyperlink r:id="rId5797" ref="B2899"/>
    <hyperlink r:id="rId5798" ref="A2900"/>
    <hyperlink r:id="rId5799" ref="B2900"/>
    <hyperlink r:id="rId5800" ref="A2901"/>
    <hyperlink r:id="rId5801" ref="B2901"/>
    <hyperlink r:id="rId5802" ref="A2902"/>
    <hyperlink r:id="rId5803" ref="B2902"/>
    <hyperlink r:id="rId5804" ref="A2903"/>
    <hyperlink r:id="rId5805" ref="B2903"/>
    <hyperlink r:id="rId5806" ref="A2904"/>
    <hyperlink r:id="rId5807" ref="B2904"/>
    <hyperlink r:id="rId5808" ref="A2905"/>
    <hyperlink r:id="rId5809" ref="B2905"/>
    <hyperlink r:id="rId5810" ref="A2906"/>
    <hyperlink r:id="rId5811" ref="B2906"/>
    <hyperlink r:id="rId5812" ref="A2907"/>
    <hyperlink r:id="rId5813" ref="B2907"/>
    <hyperlink r:id="rId5814" ref="A2908"/>
    <hyperlink r:id="rId5815" ref="B2908"/>
    <hyperlink r:id="rId5816" ref="A2909"/>
    <hyperlink r:id="rId5817" ref="B2909"/>
    <hyperlink r:id="rId5818" ref="A2910"/>
    <hyperlink r:id="rId5819" ref="B2910"/>
    <hyperlink r:id="rId5820" ref="A2911"/>
    <hyperlink r:id="rId5821" ref="B2911"/>
    <hyperlink r:id="rId5822" ref="A2912"/>
    <hyperlink r:id="rId5823" ref="B2912"/>
    <hyperlink r:id="rId5824" ref="A2913"/>
    <hyperlink r:id="rId5825" ref="B2913"/>
    <hyperlink r:id="rId5826" ref="A2914"/>
    <hyperlink r:id="rId5827" ref="B2914"/>
    <hyperlink r:id="rId5828" ref="A2915"/>
    <hyperlink r:id="rId5829" ref="B2915"/>
    <hyperlink r:id="rId5830" ref="A2916"/>
    <hyperlink r:id="rId5831" ref="B2916"/>
    <hyperlink r:id="rId5832" ref="A2917"/>
    <hyperlink r:id="rId5833" ref="B2917"/>
    <hyperlink r:id="rId5834" ref="A2918"/>
    <hyperlink r:id="rId5835" ref="B2918"/>
    <hyperlink r:id="rId5836" ref="A2919"/>
    <hyperlink r:id="rId5837" ref="B2919"/>
    <hyperlink r:id="rId5838" ref="A2920"/>
    <hyperlink r:id="rId5839" ref="B2920"/>
    <hyperlink r:id="rId5840" ref="A2921"/>
    <hyperlink r:id="rId5841" ref="B2921"/>
    <hyperlink r:id="rId5842" ref="A2922"/>
    <hyperlink r:id="rId5843" ref="B2922"/>
    <hyperlink r:id="rId5844" ref="A2923"/>
    <hyperlink r:id="rId5845" ref="B2923"/>
    <hyperlink r:id="rId5846" ref="A2924"/>
    <hyperlink r:id="rId5847" ref="B2924"/>
    <hyperlink r:id="rId5848" ref="A2925"/>
    <hyperlink r:id="rId5849" ref="B2925"/>
    <hyperlink r:id="rId5850" ref="A2926"/>
    <hyperlink r:id="rId5851" ref="B2926"/>
    <hyperlink r:id="rId5852" ref="A2927"/>
    <hyperlink r:id="rId5853" ref="B2927"/>
    <hyperlink r:id="rId5854" ref="A2928"/>
    <hyperlink r:id="rId5855" ref="B2928"/>
    <hyperlink r:id="rId5856" ref="A2929"/>
    <hyperlink r:id="rId5857" ref="B2929"/>
    <hyperlink r:id="rId5858" ref="A2930"/>
    <hyperlink r:id="rId5859" ref="B2930"/>
    <hyperlink r:id="rId5860" ref="A2931"/>
    <hyperlink r:id="rId5861" ref="B2931"/>
    <hyperlink r:id="rId5862" ref="A2932"/>
    <hyperlink r:id="rId5863" ref="B2932"/>
    <hyperlink r:id="rId5864" ref="A2933"/>
    <hyperlink r:id="rId5865" ref="B2933"/>
    <hyperlink r:id="rId5866" ref="A2934"/>
    <hyperlink r:id="rId5867" ref="B2934"/>
    <hyperlink r:id="rId5868" ref="A2935"/>
    <hyperlink r:id="rId5869" ref="B2935"/>
    <hyperlink r:id="rId5870" ref="A2936"/>
    <hyperlink r:id="rId5871" ref="B2936"/>
    <hyperlink r:id="rId5872" ref="A2937"/>
    <hyperlink r:id="rId5873" ref="B2937"/>
    <hyperlink r:id="rId5874" ref="A2938"/>
    <hyperlink r:id="rId5875" ref="B2938"/>
    <hyperlink r:id="rId5876" ref="A2939"/>
    <hyperlink r:id="rId5877" ref="B2939"/>
    <hyperlink r:id="rId5878" ref="A2940"/>
    <hyperlink r:id="rId5879" ref="B2940"/>
    <hyperlink r:id="rId5880" ref="A2941"/>
    <hyperlink r:id="rId5881" ref="B2941"/>
    <hyperlink r:id="rId5882" ref="A2942"/>
    <hyperlink r:id="rId5883" ref="B2942"/>
    <hyperlink r:id="rId5884" ref="A2943"/>
    <hyperlink r:id="rId5885" ref="B2943"/>
    <hyperlink r:id="rId5886" ref="A2944"/>
    <hyperlink r:id="rId5887" ref="B2944"/>
    <hyperlink r:id="rId5888" ref="A2945"/>
    <hyperlink r:id="rId5889" ref="B2945"/>
    <hyperlink r:id="rId5890" ref="A2946"/>
    <hyperlink r:id="rId5891" ref="B2946"/>
    <hyperlink r:id="rId5892" ref="A2947"/>
    <hyperlink r:id="rId5893" ref="B2947"/>
    <hyperlink r:id="rId5894" ref="A2948"/>
    <hyperlink r:id="rId5895" ref="B2948"/>
    <hyperlink r:id="rId5896" ref="A2949"/>
    <hyperlink r:id="rId5897" ref="B2949"/>
    <hyperlink r:id="rId5898" ref="A2950"/>
    <hyperlink r:id="rId5899" ref="B2950"/>
    <hyperlink r:id="rId5900" ref="A2951"/>
    <hyperlink r:id="rId5901" ref="B2951"/>
    <hyperlink r:id="rId5902" ref="A2952"/>
    <hyperlink r:id="rId5903" ref="B2952"/>
    <hyperlink r:id="rId5904" ref="A2953"/>
    <hyperlink r:id="rId5905" ref="B2953"/>
    <hyperlink r:id="rId5906" ref="A2954"/>
    <hyperlink r:id="rId5907" ref="B2954"/>
    <hyperlink r:id="rId5908" ref="A2955"/>
    <hyperlink r:id="rId5909" ref="B2955"/>
    <hyperlink r:id="rId5910" ref="A2956"/>
    <hyperlink r:id="rId5911" ref="B2956"/>
    <hyperlink r:id="rId5912" ref="A2957"/>
    <hyperlink r:id="rId5913" ref="B2957"/>
    <hyperlink r:id="rId5914" ref="A2958"/>
    <hyperlink r:id="rId5915" ref="B2958"/>
    <hyperlink r:id="rId5916" ref="A2959"/>
    <hyperlink r:id="rId5917" ref="B2959"/>
    <hyperlink r:id="rId5918" ref="A2960"/>
    <hyperlink r:id="rId5919" ref="B2960"/>
    <hyperlink r:id="rId5920" ref="A2961"/>
    <hyperlink r:id="rId5921" ref="B2961"/>
    <hyperlink r:id="rId5922" ref="A2962"/>
    <hyperlink r:id="rId5923" ref="B2962"/>
    <hyperlink r:id="rId5924" ref="A2963"/>
    <hyperlink r:id="rId5925" ref="B2963"/>
    <hyperlink r:id="rId5926" ref="A2964"/>
    <hyperlink r:id="rId5927" ref="B2964"/>
    <hyperlink r:id="rId5928" ref="A2965"/>
    <hyperlink r:id="rId5929" ref="B2965"/>
    <hyperlink r:id="rId5930" ref="A2966"/>
    <hyperlink r:id="rId5931" ref="B2966"/>
    <hyperlink r:id="rId5932" ref="A2967"/>
    <hyperlink r:id="rId5933" ref="B2967"/>
    <hyperlink r:id="rId5934" ref="A2968"/>
    <hyperlink r:id="rId5935" ref="B2968"/>
    <hyperlink r:id="rId5936" ref="A2969"/>
    <hyperlink r:id="rId5937" ref="B2969"/>
    <hyperlink r:id="rId5938" ref="A2970"/>
    <hyperlink r:id="rId5939" ref="B2970"/>
    <hyperlink r:id="rId5940" ref="A2971"/>
    <hyperlink r:id="rId5941" ref="B2971"/>
    <hyperlink r:id="rId5942" ref="A2972"/>
    <hyperlink r:id="rId5943" ref="B2972"/>
    <hyperlink r:id="rId5944" ref="A2973"/>
    <hyperlink r:id="rId5945" ref="B2973"/>
    <hyperlink r:id="rId5946" ref="A2974"/>
    <hyperlink r:id="rId5947" ref="B2974"/>
    <hyperlink r:id="rId5948" ref="A2975"/>
    <hyperlink r:id="rId5949" ref="B2975"/>
    <hyperlink r:id="rId5950" ref="A2976"/>
    <hyperlink r:id="rId5951" ref="B2976"/>
    <hyperlink r:id="rId5952" ref="A2977"/>
    <hyperlink r:id="rId5953" ref="B2977"/>
    <hyperlink r:id="rId5954" ref="A2978"/>
    <hyperlink r:id="rId5955" ref="B2978"/>
    <hyperlink r:id="rId5956" ref="A2979"/>
    <hyperlink r:id="rId5957" ref="B2979"/>
    <hyperlink r:id="rId5958" ref="A2980"/>
    <hyperlink r:id="rId5959" ref="B2980"/>
    <hyperlink r:id="rId5960" ref="A2981"/>
    <hyperlink r:id="rId5961" ref="B2981"/>
    <hyperlink r:id="rId5962" ref="A2982"/>
    <hyperlink r:id="rId5963" ref="B2982"/>
    <hyperlink r:id="rId5964" ref="A2983"/>
    <hyperlink r:id="rId5965" ref="B2983"/>
    <hyperlink r:id="rId5966" ref="A2984"/>
    <hyperlink r:id="rId5967" ref="B2984"/>
    <hyperlink r:id="rId5968" ref="A2985"/>
    <hyperlink r:id="rId5969" ref="B2985"/>
    <hyperlink r:id="rId5970" ref="A2986"/>
    <hyperlink r:id="rId5971" ref="B2986"/>
    <hyperlink r:id="rId5972" ref="A2987"/>
    <hyperlink r:id="rId5973" ref="B2987"/>
    <hyperlink r:id="rId5974" ref="A2988"/>
    <hyperlink r:id="rId5975" ref="B2988"/>
    <hyperlink r:id="rId5976" ref="A2989"/>
    <hyperlink r:id="rId5977" ref="B2989"/>
    <hyperlink r:id="rId5978" ref="A2990"/>
    <hyperlink r:id="rId5979" ref="B2990"/>
    <hyperlink r:id="rId5980" ref="A2991"/>
    <hyperlink r:id="rId5981" ref="B2991"/>
    <hyperlink r:id="rId5982" ref="A2992"/>
    <hyperlink r:id="rId5983" ref="B2992"/>
    <hyperlink r:id="rId5984" ref="A2993"/>
    <hyperlink r:id="rId5985" ref="B2993"/>
    <hyperlink r:id="rId5986" ref="A2994"/>
    <hyperlink r:id="rId5987" ref="B2994"/>
    <hyperlink r:id="rId5988" ref="A2995"/>
    <hyperlink r:id="rId5989" ref="B2995"/>
    <hyperlink r:id="rId5990" ref="A2996"/>
    <hyperlink r:id="rId5991" ref="B2996"/>
    <hyperlink r:id="rId5992" ref="A2997"/>
    <hyperlink r:id="rId5993" ref="B2997"/>
    <hyperlink r:id="rId5994" ref="A2998"/>
    <hyperlink r:id="rId5995" ref="B2998"/>
    <hyperlink r:id="rId5996" ref="A2999"/>
    <hyperlink r:id="rId5997" ref="B2999"/>
    <hyperlink r:id="rId5998" ref="A3000"/>
    <hyperlink r:id="rId5999" ref="B3000"/>
    <hyperlink r:id="rId6000" ref="A3001"/>
    <hyperlink r:id="rId6001" ref="B3001"/>
    <hyperlink r:id="rId6002" ref="A3002"/>
    <hyperlink r:id="rId6003" ref="B3002"/>
    <hyperlink r:id="rId6004" ref="A3003"/>
    <hyperlink r:id="rId6005" ref="B3003"/>
    <hyperlink r:id="rId6006" ref="A3004"/>
    <hyperlink r:id="rId6007" ref="B3004"/>
    <hyperlink r:id="rId6008" ref="A3005"/>
    <hyperlink r:id="rId6009" ref="B3005"/>
    <hyperlink r:id="rId6010" ref="A3006"/>
    <hyperlink r:id="rId6011" ref="B3006"/>
    <hyperlink r:id="rId6012" ref="A3007"/>
    <hyperlink r:id="rId6013" ref="B3007"/>
    <hyperlink r:id="rId6014" ref="A3008"/>
    <hyperlink r:id="rId6015" ref="B3008"/>
    <hyperlink r:id="rId6016" ref="A3009"/>
    <hyperlink r:id="rId6017" ref="B3009"/>
    <hyperlink r:id="rId6018" ref="A3010"/>
    <hyperlink r:id="rId6019" ref="B3010"/>
    <hyperlink r:id="rId6020" ref="A3011"/>
    <hyperlink r:id="rId6021" ref="B3011"/>
    <hyperlink r:id="rId6022" ref="A3012"/>
    <hyperlink r:id="rId6023" ref="B3012"/>
    <hyperlink r:id="rId6024" ref="A3013"/>
    <hyperlink r:id="rId6025" ref="B3013"/>
    <hyperlink r:id="rId6026" ref="A3014"/>
    <hyperlink r:id="rId6027" ref="B3014"/>
    <hyperlink r:id="rId6028" ref="A3015"/>
    <hyperlink r:id="rId6029" ref="B3015"/>
    <hyperlink r:id="rId6030" ref="A3016"/>
    <hyperlink r:id="rId6031" ref="B3016"/>
    <hyperlink r:id="rId6032" ref="A3017"/>
    <hyperlink r:id="rId6033" ref="B3017"/>
    <hyperlink r:id="rId6034" ref="A3018"/>
    <hyperlink r:id="rId6035" ref="B3018"/>
    <hyperlink r:id="rId6036" ref="A3019"/>
    <hyperlink r:id="rId6037" ref="B3019"/>
    <hyperlink r:id="rId6038" ref="A3020"/>
    <hyperlink r:id="rId6039" ref="B3020"/>
    <hyperlink r:id="rId6040" ref="A3021"/>
    <hyperlink r:id="rId6041" ref="B3021"/>
    <hyperlink r:id="rId6042" ref="A3022"/>
    <hyperlink r:id="rId6043" ref="B3022"/>
    <hyperlink r:id="rId6044" ref="A3023"/>
    <hyperlink r:id="rId6045" ref="B3023"/>
    <hyperlink r:id="rId6046" ref="A3024"/>
    <hyperlink r:id="rId6047" ref="B3024"/>
    <hyperlink r:id="rId6048" ref="A3025"/>
    <hyperlink r:id="rId6049" ref="B3025"/>
    <hyperlink r:id="rId6050" ref="A3026"/>
    <hyperlink r:id="rId6051" ref="B3026"/>
    <hyperlink r:id="rId6052" ref="A3027"/>
    <hyperlink r:id="rId6053" ref="B3027"/>
    <hyperlink r:id="rId6054" ref="A3028"/>
    <hyperlink r:id="rId6055" ref="B3028"/>
    <hyperlink r:id="rId6056" ref="A3029"/>
    <hyperlink r:id="rId6057" ref="B3029"/>
    <hyperlink r:id="rId6058" ref="A3030"/>
    <hyperlink r:id="rId6059" ref="B3030"/>
    <hyperlink r:id="rId6060" ref="A3031"/>
    <hyperlink r:id="rId6061" ref="B3031"/>
    <hyperlink r:id="rId6062" ref="A3032"/>
    <hyperlink r:id="rId6063" ref="B3032"/>
    <hyperlink r:id="rId6064" ref="A3033"/>
    <hyperlink r:id="rId6065" ref="B3033"/>
    <hyperlink r:id="rId6066" ref="A3034"/>
    <hyperlink r:id="rId6067" ref="B3034"/>
    <hyperlink r:id="rId6068" ref="A3035"/>
    <hyperlink r:id="rId6069" ref="B3035"/>
    <hyperlink r:id="rId6070" ref="A3036"/>
    <hyperlink r:id="rId6071" ref="B3036"/>
    <hyperlink r:id="rId6072" ref="A3037"/>
    <hyperlink r:id="rId6073" ref="B3037"/>
    <hyperlink r:id="rId6074" ref="A3038"/>
    <hyperlink r:id="rId6075" ref="B3038"/>
    <hyperlink r:id="rId6076" ref="A3039"/>
    <hyperlink r:id="rId6077" ref="B3039"/>
    <hyperlink r:id="rId6078" ref="A3040"/>
    <hyperlink r:id="rId6079" ref="B3040"/>
    <hyperlink r:id="rId6080" ref="A3041"/>
    <hyperlink r:id="rId6081" ref="B3041"/>
    <hyperlink r:id="rId6082" ref="A3042"/>
    <hyperlink r:id="rId6083" ref="B3042"/>
    <hyperlink r:id="rId6084" ref="A3043"/>
    <hyperlink r:id="rId6085" ref="B3043"/>
    <hyperlink r:id="rId6086" ref="A3044"/>
    <hyperlink r:id="rId6087" ref="B3044"/>
    <hyperlink r:id="rId6088" ref="A3045"/>
    <hyperlink r:id="rId6089" ref="B3045"/>
    <hyperlink r:id="rId6090" ref="A3046"/>
    <hyperlink r:id="rId6091" ref="B3046"/>
    <hyperlink r:id="rId6092" ref="A3047"/>
    <hyperlink r:id="rId6093" ref="B3047"/>
    <hyperlink r:id="rId6094" ref="A3048"/>
    <hyperlink r:id="rId6095" ref="B3048"/>
    <hyperlink r:id="rId6096" ref="A3049"/>
    <hyperlink r:id="rId6097" ref="B3049"/>
    <hyperlink r:id="rId6098" ref="A3050"/>
    <hyperlink r:id="rId6099" ref="B3050"/>
    <hyperlink r:id="rId6100" ref="A3051"/>
    <hyperlink r:id="rId6101" ref="B3051"/>
    <hyperlink r:id="rId6102" ref="A3052"/>
    <hyperlink r:id="rId6103" ref="B3052"/>
    <hyperlink r:id="rId6104" ref="A3053"/>
    <hyperlink r:id="rId6105" ref="B3053"/>
    <hyperlink r:id="rId6106" ref="A3054"/>
    <hyperlink r:id="rId6107" ref="B3054"/>
    <hyperlink r:id="rId6108" ref="A3055"/>
    <hyperlink r:id="rId6109" ref="B3055"/>
    <hyperlink r:id="rId6110" ref="A3056"/>
    <hyperlink r:id="rId6111" ref="B3056"/>
    <hyperlink r:id="rId6112" ref="A3057"/>
    <hyperlink r:id="rId6113" ref="B3057"/>
    <hyperlink r:id="rId6114" ref="A3058"/>
    <hyperlink r:id="rId6115" ref="B3058"/>
    <hyperlink r:id="rId6116" ref="A3059"/>
    <hyperlink r:id="rId6117" ref="B3059"/>
    <hyperlink r:id="rId6118" ref="A3060"/>
    <hyperlink r:id="rId6119" ref="B3060"/>
    <hyperlink r:id="rId6120" ref="A3061"/>
    <hyperlink r:id="rId6121" ref="B3061"/>
    <hyperlink r:id="rId6122" ref="A3062"/>
    <hyperlink r:id="rId6123" ref="B3062"/>
    <hyperlink r:id="rId6124" ref="A3063"/>
    <hyperlink r:id="rId6125" ref="B3063"/>
    <hyperlink r:id="rId6126" ref="A3064"/>
    <hyperlink r:id="rId6127" ref="B3064"/>
    <hyperlink r:id="rId6128" ref="A3065"/>
    <hyperlink r:id="rId6129" ref="B3065"/>
    <hyperlink r:id="rId6130" ref="A3066"/>
    <hyperlink r:id="rId6131" ref="B3066"/>
    <hyperlink r:id="rId6132" ref="A3067"/>
    <hyperlink r:id="rId6133" ref="B3067"/>
    <hyperlink r:id="rId6134" ref="A3068"/>
    <hyperlink r:id="rId6135" ref="B3068"/>
    <hyperlink r:id="rId6136" ref="A3069"/>
    <hyperlink r:id="rId6137" ref="B3069"/>
    <hyperlink r:id="rId6138" ref="A3070"/>
    <hyperlink r:id="rId6139" ref="B3070"/>
    <hyperlink r:id="rId6140" ref="A3071"/>
    <hyperlink r:id="rId6141" ref="B3071"/>
    <hyperlink r:id="rId6142" ref="A3072"/>
    <hyperlink r:id="rId6143" ref="B3072"/>
    <hyperlink r:id="rId6144" ref="A3073"/>
    <hyperlink r:id="rId6145" ref="B3073"/>
    <hyperlink r:id="rId6146" ref="A3074"/>
    <hyperlink r:id="rId6147" ref="B3074"/>
    <hyperlink r:id="rId6148" ref="A3075"/>
    <hyperlink r:id="rId6149" ref="B3075"/>
    <hyperlink r:id="rId6150" ref="A3076"/>
    <hyperlink r:id="rId6151" ref="B3076"/>
    <hyperlink r:id="rId6152" ref="A3077"/>
    <hyperlink r:id="rId6153" ref="B3077"/>
    <hyperlink r:id="rId6154" ref="A3078"/>
    <hyperlink r:id="rId6155" ref="B3078"/>
    <hyperlink r:id="rId6156" ref="A3079"/>
    <hyperlink r:id="rId6157" ref="B3079"/>
    <hyperlink r:id="rId6158" ref="A3080"/>
    <hyperlink r:id="rId6159" ref="B3080"/>
    <hyperlink r:id="rId6160" ref="A3081"/>
    <hyperlink r:id="rId6161" ref="B3081"/>
    <hyperlink r:id="rId6162" ref="A3082"/>
    <hyperlink r:id="rId6163" ref="B3082"/>
    <hyperlink r:id="rId6164" ref="A3083"/>
    <hyperlink r:id="rId6165" ref="B3083"/>
    <hyperlink r:id="rId6166" ref="A3084"/>
    <hyperlink r:id="rId6167" ref="B3084"/>
    <hyperlink r:id="rId6168" ref="A3085"/>
    <hyperlink r:id="rId6169" ref="B3085"/>
    <hyperlink r:id="rId6170" ref="A3086"/>
    <hyperlink r:id="rId6171" ref="B3086"/>
    <hyperlink r:id="rId6172" ref="A3087"/>
    <hyperlink r:id="rId6173" ref="B3087"/>
    <hyperlink r:id="rId6174" ref="A3088"/>
    <hyperlink r:id="rId6175" ref="B3088"/>
    <hyperlink r:id="rId6176" ref="A3089"/>
    <hyperlink r:id="rId6177" ref="B3089"/>
    <hyperlink r:id="rId6178" ref="A3090"/>
    <hyperlink r:id="rId6179" ref="B3090"/>
    <hyperlink r:id="rId6180" ref="A3091"/>
    <hyperlink r:id="rId6181" ref="B3091"/>
    <hyperlink r:id="rId6182" ref="A3092"/>
    <hyperlink r:id="rId6183" ref="B3092"/>
    <hyperlink r:id="rId6184" ref="A3093"/>
    <hyperlink r:id="rId6185" ref="B3093"/>
    <hyperlink r:id="rId6186" ref="A3094"/>
    <hyperlink r:id="rId6187" ref="B3094"/>
    <hyperlink r:id="rId6188" ref="A3095"/>
    <hyperlink r:id="rId6189" ref="B3095"/>
    <hyperlink r:id="rId6190" ref="A3096"/>
    <hyperlink r:id="rId6191" ref="B3096"/>
    <hyperlink r:id="rId6192" ref="A3097"/>
    <hyperlink r:id="rId6193" ref="B3097"/>
    <hyperlink r:id="rId6194" ref="A3098"/>
    <hyperlink r:id="rId6195" ref="B3098"/>
    <hyperlink r:id="rId6196" ref="A3099"/>
    <hyperlink r:id="rId6197" ref="B3099"/>
    <hyperlink r:id="rId6198" ref="A3100"/>
    <hyperlink r:id="rId6199" ref="B3100"/>
    <hyperlink r:id="rId6200" ref="A3101"/>
    <hyperlink r:id="rId6201" ref="B3101"/>
    <hyperlink r:id="rId6202" ref="A3102"/>
    <hyperlink r:id="rId6203" ref="B3102"/>
    <hyperlink r:id="rId6204" ref="A3103"/>
    <hyperlink r:id="rId6205" ref="B3103"/>
    <hyperlink r:id="rId6206" ref="A3104"/>
    <hyperlink r:id="rId6207" ref="B3104"/>
    <hyperlink r:id="rId6208" ref="A3105"/>
    <hyperlink r:id="rId6209" ref="B3105"/>
    <hyperlink r:id="rId6210" ref="A3106"/>
    <hyperlink r:id="rId6211" ref="B3106"/>
    <hyperlink r:id="rId6212" ref="A3107"/>
    <hyperlink r:id="rId6213" ref="B3107"/>
    <hyperlink r:id="rId6214" ref="A3108"/>
    <hyperlink r:id="rId6215" ref="B3108"/>
    <hyperlink r:id="rId6216" ref="A3109"/>
    <hyperlink r:id="rId6217" ref="B3109"/>
    <hyperlink r:id="rId6218" ref="A3110"/>
    <hyperlink r:id="rId6219" ref="B3110"/>
    <hyperlink r:id="rId6220" ref="A3111"/>
    <hyperlink r:id="rId6221" ref="B3111"/>
    <hyperlink r:id="rId6222" ref="A3112"/>
    <hyperlink r:id="rId6223" ref="B3112"/>
    <hyperlink r:id="rId6224" ref="A3113"/>
    <hyperlink r:id="rId6225" ref="B3113"/>
    <hyperlink r:id="rId6226" ref="A3114"/>
    <hyperlink r:id="rId6227" ref="B3114"/>
    <hyperlink r:id="rId6228" ref="A3115"/>
    <hyperlink r:id="rId6229" ref="B3115"/>
    <hyperlink r:id="rId6230" ref="A3116"/>
    <hyperlink r:id="rId6231" ref="B3116"/>
    <hyperlink r:id="rId6232" ref="A3117"/>
    <hyperlink r:id="rId6233" ref="B3117"/>
    <hyperlink r:id="rId6234" ref="A3118"/>
    <hyperlink r:id="rId6235" ref="B3118"/>
    <hyperlink r:id="rId6236" ref="A3119"/>
    <hyperlink r:id="rId6237" ref="B3119"/>
    <hyperlink r:id="rId6238" ref="A3120"/>
    <hyperlink r:id="rId6239" ref="B3120"/>
    <hyperlink r:id="rId6240" ref="A3121"/>
    <hyperlink r:id="rId6241" ref="B3121"/>
    <hyperlink r:id="rId6242" ref="A3122"/>
    <hyperlink r:id="rId6243" ref="B3122"/>
    <hyperlink r:id="rId6244" ref="A3123"/>
    <hyperlink r:id="rId6245" ref="B3123"/>
    <hyperlink r:id="rId6246" ref="A3124"/>
    <hyperlink r:id="rId6247" ref="B3124"/>
    <hyperlink r:id="rId6248" ref="A3125"/>
    <hyperlink r:id="rId6249" ref="B3125"/>
    <hyperlink r:id="rId6250" ref="A3126"/>
    <hyperlink r:id="rId6251" ref="B3126"/>
    <hyperlink r:id="rId6252" ref="A3127"/>
    <hyperlink r:id="rId6253" ref="B3127"/>
    <hyperlink r:id="rId6254" ref="A3128"/>
    <hyperlink r:id="rId6255" ref="B3128"/>
    <hyperlink r:id="rId6256" ref="A3129"/>
    <hyperlink r:id="rId6257" ref="B3129"/>
    <hyperlink r:id="rId6258" ref="A3130"/>
    <hyperlink r:id="rId6259" ref="B3130"/>
    <hyperlink r:id="rId6260" ref="A3131"/>
    <hyperlink r:id="rId6261" ref="B3131"/>
    <hyperlink r:id="rId6262" ref="A3132"/>
    <hyperlink r:id="rId6263" ref="B3132"/>
    <hyperlink r:id="rId6264" ref="A3133"/>
    <hyperlink r:id="rId6265" ref="B3133"/>
    <hyperlink r:id="rId6266" ref="A3134"/>
    <hyperlink r:id="rId6267" ref="B3134"/>
    <hyperlink r:id="rId6268" ref="A3135"/>
    <hyperlink r:id="rId6269" ref="B3135"/>
    <hyperlink r:id="rId6270" ref="A3136"/>
    <hyperlink r:id="rId6271" ref="B3136"/>
    <hyperlink r:id="rId6272" ref="A3137"/>
    <hyperlink r:id="rId6273" ref="B3137"/>
    <hyperlink r:id="rId6274" ref="A3138"/>
    <hyperlink r:id="rId6275" ref="B3138"/>
    <hyperlink r:id="rId6276" ref="A3139"/>
    <hyperlink r:id="rId6277" ref="B3139"/>
    <hyperlink r:id="rId6278" ref="A3140"/>
    <hyperlink r:id="rId6279" ref="B3140"/>
    <hyperlink r:id="rId6280" ref="A3141"/>
    <hyperlink r:id="rId6281" ref="B3141"/>
    <hyperlink r:id="rId6282" ref="A3142"/>
    <hyperlink r:id="rId6283" ref="B3142"/>
    <hyperlink r:id="rId6284" ref="A3143"/>
    <hyperlink r:id="rId6285" ref="B3143"/>
    <hyperlink r:id="rId6286" ref="A3144"/>
    <hyperlink r:id="rId6287" ref="B3144"/>
    <hyperlink r:id="rId6288" ref="A3145"/>
    <hyperlink r:id="rId6289" ref="B3145"/>
  </hyperlinks>
  <drawing r:id="rId6290"/>
</worksheet>
</file>