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170" yWindow="345" windowWidth="5475" windowHeight="5775"/>
  </bookViews>
  <sheets>
    <sheet name="CVTv1.2" sheetId="4" r:id="rId1"/>
    <sheet name="Sheet1" sheetId="5" r:id="rId2"/>
  </sheets>
  <definedNames>
    <definedName name="ACT_FIELD_RATE">CVTv1.2!$Q$55</definedName>
    <definedName name="ACT_FRAME_RATE">CVTv1.2!$Q$56</definedName>
    <definedName name="ACT_H_FREQ">CVTv1.2!$Q$53</definedName>
    <definedName name="ACT_PIXEL_FREQ">CVTv1.2!$Q$58</definedName>
    <definedName name="ACT_VBI_LINES">CVTv1.2!$Y$33</definedName>
    <definedName name="ASPECT_RATIO">CVTv1.2!$F$50</definedName>
    <definedName name="BOT_MARGIN">CVTv1.2!$Q$42</definedName>
    <definedName name="C_PRIME">CVTv1.2!$K$132</definedName>
    <definedName name="CELL_GRAN">CVTv1.2!$K$101</definedName>
    <definedName name="CELL_GRAN_RND">CVTv1.2!$Q$20</definedName>
    <definedName name="CLOCK_STEP">CVTv1.2!$K$150</definedName>
    <definedName name="FrameRate_Error">CVTv1.2!$Y$57</definedName>
    <definedName name="GTF_C_VAR">CVTv1.2!$K$127</definedName>
    <definedName name="GTF_J_VAR">CVTv1.2!$K$129</definedName>
    <definedName name="GTF_K_VAR">CVTv1.2!$K$128</definedName>
    <definedName name="GTF_M_VAR">CVTv1.2!$K$126</definedName>
    <definedName name="H_BACK_PORCH">CVTv1.2!$Q$69</definedName>
    <definedName name="H_BLANK">CVTv1.2!$Q$63</definedName>
    <definedName name="H_FRONT_PORCH">CVTv1.2!$Q$65</definedName>
    <definedName name="H_PERIOD">CVTv1.2!#REF!</definedName>
    <definedName name="H_PERIOD_EST">CVTv1.2!$Q$50</definedName>
    <definedName name="H_PIXELS">CVTv1.2!$K$20</definedName>
    <definedName name="H_PIXELS_RND">CVTv1.2!$Q$28</definedName>
    <definedName name="H_SYNC_PER">CVTv1.2!$U$21</definedName>
    <definedName name="H_SYNC_RND">CVTv1.2!$Q$67</definedName>
    <definedName name="IDEAL_DUTY_CYCLE">CVTv1.2!$U$39</definedName>
    <definedName name="INT_RQD?">CVTv1.2!$K$23</definedName>
    <definedName name="INTERLACE">CVTv1.2!$Q$45</definedName>
    <definedName name="IP_FREQ_RQD">CVTv1.2!$K$24</definedName>
    <definedName name="LEFT_MARGIN">CVTv1.2!$Q$31</definedName>
    <definedName name="M_PRIME">CVTv1.2!$K$131</definedName>
    <definedName name="MARGIN_PER">CVTv1.2!$Q$21</definedName>
    <definedName name="MARGINS_RQD?">CVTv1.2!$K$22</definedName>
    <definedName name="MIN_V_BPORCH">CVTv1.2!$K$118</definedName>
    <definedName name="MIN_V_PORCH">CVTv1.2!$K$119</definedName>
    <definedName name="MIN_V_PORCH_RND">CVTv1.2!$Q$22</definedName>
    <definedName name="MIN_VSYNC_BP">CVTv1.2!$U$20</definedName>
    <definedName name="PIXEL_FREQ">CVTv1.2!#REF!</definedName>
    <definedName name="_xlnm.Print_Area" localSheetId="0">CVTv1.2!$A$37:$M$87</definedName>
    <definedName name="_xlnm.Print_Titles" localSheetId="0">CVTv1.2!$1:$17</definedName>
    <definedName name="RB_H_BLANK">CVTv1.2!$Y$22</definedName>
    <definedName name="RB_H_SYNC">CVTv1.2!$Y$21</definedName>
    <definedName name="RB_MIN_V_BLANK">CVTv1.2!$Y$20</definedName>
    <definedName name="RB_MIN_V_BPORCH">CVTv1.2!$K$146</definedName>
    <definedName name="RB_MIN_VBI">CVTv1.2!$Y$32</definedName>
    <definedName name="RB_V_FPORCH">CVTv1.2!$K$142</definedName>
    <definedName name="RB_V_SYNC">CVTv1.2!#REF!</definedName>
    <definedName name="RED_BLANK_RQD?">CVTv1.2!$K$25</definedName>
    <definedName name="RED_BLANK_VER">CVTv1.2!$K$26</definedName>
    <definedName name="RED_BLANK_VER2">CVTv1.2!$K$26</definedName>
    <definedName name="RIGHT_MARGIN">CVTv1.2!$Q$32</definedName>
    <definedName name="TOP_MARGIN">CVTv1.2!$Q$41</definedName>
    <definedName name="TOTAL_ACTIVE_PIXELS">CVTv1.2!$Q$35</definedName>
    <definedName name="TOTAL_PIXELS">CVTv1.2!$Q$61</definedName>
    <definedName name="TOTAL_V_LINES">CVTv1.2!$Q$72</definedName>
    <definedName name="V_BACK_PORCH">CVTv1.2!$Q$80</definedName>
    <definedName name="V_BLANK">CVTv1.2!$Q$74</definedName>
    <definedName name="V_FIELD_RATE">CVTv1.2!#REF!</definedName>
    <definedName name="V_FIELD_RATE_EST">CVTv1.2!#REF!</definedName>
    <definedName name="V_FIELD_RATE_RQD">CVTv1.2!$Q$25</definedName>
    <definedName name="V_FRAME_RATE">CVTv1.2!#REF!</definedName>
    <definedName name="V_FRONT_PORCH">CVTv1.2!$Q$76</definedName>
    <definedName name="V_LINES">CVTv1.2!$K$21</definedName>
    <definedName name="V_LINES_RND">CVTv1.2!$Q$38</definedName>
    <definedName name="V_SYNC">CVTv1.2!$K$109</definedName>
    <definedName name="V_SYNC_BP">CVTv1.2!$U$30</definedName>
    <definedName name="V_SYNC_RND">CVTv1.2!$Q$78</definedName>
    <definedName name="VBI_LINES">CVTv1.2!$Y$28</definedName>
    <definedName name="Version">CVTv1.2!$L$25</definedName>
    <definedName name="VIDEO_OPT">CVTv1.2!$K$27</definedName>
    <definedName name="VSYNC_WIDTH_TABLE">CVTv1.2!$D$157:$E$164</definedName>
  </definedNames>
  <calcPr calcId="145621"/>
</workbook>
</file>

<file path=xl/calcChain.xml><?xml version="1.0" encoding="utf-8"?>
<calcChain xmlns="http://schemas.openxmlformats.org/spreadsheetml/2006/main">
  <c r="Q22" i="4" l="1"/>
  <c r="K150" i="4"/>
  <c r="K146" i="4"/>
  <c r="K136" i="4"/>
  <c r="K142" i="4"/>
  <c r="AB20" i="4" l="1"/>
  <c r="AB25" i="4"/>
  <c r="AB24" i="4"/>
  <c r="Y22" i="4" l="1"/>
  <c r="T48" i="4"/>
  <c r="K101" i="4"/>
  <c r="Q20" i="4" s="1"/>
  <c r="Q28" i="4" s="1"/>
  <c r="F51" i="4"/>
  <c r="U20" i="4"/>
  <c r="Y20" i="4"/>
  <c r="AC20" i="4"/>
  <c r="Q21" i="4"/>
  <c r="U21" i="4"/>
  <c r="Y21" i="4"/>
  <c r="Q25" i="4"/>
  <c r="O27" i="4"/>
  <c r="O30" i="4" s="1"/>
  <c r="O34" i="4" s="1"/>
  <c r="O37" i="4" s="1"/>
  <c r="O40" i="4" s="1"/>
  <c r="O44" i="4" s="1"/>
  <c r="Q31" i="4"/>
  <c r="Q32" i="4"/>
  <c r="J69" i="4" s="1"/>
  <c r="Q38" i="4"/>
  <c r="L21" i="4" s="1"/>
  <c r="Q41" i="4"/>
  <c r="J77" i="4" s="1"/>
  <c r="E44" i="4"/>
  <c r="I44" i="4"/>
  <c r="J44" i="4"/>
  <c r="K44" i="4"/>
  <c r="Q42" i="4"/>
  <c r="J81" i="4" s="1"/>
  <c r="E46" i="4"/>
  <c r="I46" i="4"/>
  <c r="J46" i="4"/>
  <c r="K46" i="4"/>
  <c r="Q45" i="4"/>
  <c r="F49" i="4"/>
  <c r="F52" i="4"/>
  <c r="J65" i="4"/>
  <c r="F71" i="4"/>
  <c r="H71" i="4"/>
  <c r="J71" i="4"/>
  <c r="L71" i="4"/>
  <c r="H72" i="4"/>
  <c r="I72" i="4"/>
  <c r="L72" i="4"/>
  <c r="M72" i="4"/>
  <c r="H73" i="4"/>
  <c r="I73" i="4"/>
  <c r="L73" i="4"/>
  <c r="M73" i="4"/>
  <c r="F75" i="4"/>
  <c r="H75" i="4"/>
  <c r="J75" i="4"/>
  <c r="L75" i="4"/>
  <c r="H76" i="4"/>
  <c r="I76" i="4"/>
  <c r="L76" i="4"/>
  <c r="M76" i="4"/>
  <c r="H77" i="4"/>
  <c r="I77" i="4"/>
  <c r="L77" i="4"/>
  <c r="M77" i="4"/>
  <c r="H78" i="4"/>
  <c r="I78" i="4"/>
  <c r="L78" i="4"/>
  <c r="M78" i="4"/>
  <c r="H79" i="4"/>
  <c r="I79" i="4"/>
  <c r="L79" i="4"/>
  <c r="M79" i="4"/>
  <c r="H80" i="4"/>
  <c r="I80" i="4"/>
  <c r="L80" i="4"/>
  <c r="M80" i="4"/>
  <c r="H81" i="4"/>
  <c r="I81" i="4"/>
  <c r="L81" i="4"/>
  <c r="M81" i="4"/>
  <c r="C82" i="4"/>
  <c r="K131" i="4"/>
  <c r="K132" i="4"/>
  <c r="E158" i="4"/>
  <c r="E159" i="4" s="1"/>
  <c r="E160" i="4" s="1"/>
  <c r="E162" i="4" s="1"/>
  <c r="E163" i="4" s="1"/>
  <c r="E164" i="4" s="1"/>
  <c r="AB22" i="4"/>
  <c r="X42" i="4" l="1"/>
  <c r="H65" i="4"/>
  <c r="U25" i="4"/>
  <c r="J73" i="4"/>
  <c r="F44" i="4"/>
  <c r="H69" i="4"/>
  <c r="Y25" i="4"/>
  <c r="Q50" i="4" s="1"/>
  <c r="U28" i="4" s="1"/>
  <c r="F43" i="4"/>
  <c r="J56" i="4"/>
  <c r="AB21" i="4"/>
  <c r="L20" i="4"/>
  <c r="H56" i="4"/>
  <c r="J48" i="4"/>
  <c r="Q35" i="4"/>
  <c r="Y39" i="4" s="1"/>
  <c r="S24" i="4"/>
  <c r="S27" i="4" s="1"/>
  <c r="S32" i="4" s="1"/>
  <c r="S35" i="4" s="1"/>
  <c r="S38" i="4" s="1"/>
  <c r="S41" i="4" s="1"/>
  <c r="S44" i="4" s="1"/>
  <c r="S47" i="4" s="1"/>
  <c r="S51" i="4" s="1"/>
  <c r="S54" i="4" s="1"/>
  <c r="S57" i="4" s="1"/>
  <c r="W24" i="4"/>
  <c r="W27" i="4" s="1"/>
  <c r="W31" i="4" s="1"/>
  <c r="W35" i="4" s="1"/>
  <c r="W38" i="4" s="1"/>
  <c r="W41" i="4" s="1"/>
  <c r="W45" i="4" s="1"/>
  <c r="W48" i="4" s="1"/>
  <c r="W51" i="4" s="1"/>
  <c r="F50" i="4" l="1"/>
  <c r="H50" i="4" s="1"/>
  <c r="AB23" i="4" s="1"/>
  <c r="AA28" i="4" s="1"/>
  <c r="D29" i="4" s="1"/>
  <c r="A40" i="4" s="1"/>
  <c r="A38" i="4"/>
  <c r="U39" i="4"/>
  <c r="F61" i="4" s="1"/>
  <c r="Y29" i="4"/>
  <c r="U29" i="4"/>
  <c r="Y28" i="4"/>
  <c r="U42" i="4" l="1"/>
  <c r="Q63" i="4" s="1"/>
  <c r="H59" i="4" s="1"/>
  <c r="K109" i="4"/>
  <c r="Q78" i="4" s="1"/>
  <c r="Y32" i="4" s="1"/>
  <c r="U45" i="4" l="1"/>
  <c r="Q61" i="4" s="1"/>
  <c r="U48" i="4" s="1"/>
  <c r="J60" i="4"/>
  <c r="J59" i="4"/>
  <c r="H60" i="4"/>
  <c r="Q69" i="4"/>
  <c r="H68" i="4" s="1"/>
  <c r="U30" i="4"/>
  <c r="U36" i="4" s="1"/>
  <c r="Q67" i="4"/>
  <c r="J67" i="4" s="1"/>
  <c r="J79" i="4"/>
  <c r="Y33" i="4"/>
  <c r="U49" i="4" l="1"/>
  <c r="F63" i="4"/>
  <c r="H55" i="4"/>
  <c r="J55" i="4"/>
  <c r="F64" i="4"/>
  <c r="J68" i="4"/>
  <c r="H67" i="4"/>
  <c r="Q65" i="4"/>
  <c r="H66" i="4" s="1"/>
  <c r="U33" i="4"/>
  <c r="Y36" i="4"/>
  <c r="Q72" i="4" s="1"/>
  <c r="Q74" i="4"/>
  <c r="Y43" i="4" l="1"/>
  <c r="Y42" i="4"/>
  <c r="Q58" i="4" s="1"/>
  <c r="J66" i="4"/>
  <c r="J76" i="4"/>
  <c r="J72" i="4"/>
  <c r="F66" i="4" l="1"/>
  <c r="Y46" i="4"/>
  <c r="F69" i="4"/>
  <c r="F55" i="4"/>
  <c r="F48" i="4"/>
  <c r="F65" i="4"/>
  <c r="F68" i="4"/>
  <c r="F47" i="4"/>
  <c r="F56" i="4"/>
  <c r="F60" i="4"/>
  <c r="F67" i="4"/>
  <c r="U52" i="4"/>
  <c r="F59" i="4"/>
  <c r="Q53" i="4" l="1"/>
  <c r="Y49" i="4" s="1"/>
  <c r="F72" i="4" l="1"/>
  <c r="F76" i="4"/>
  <c r="F45" i="4"/>
  <c r="F77" i="4"/>
  <c r="F81" i="4"/>
  <c r="F79" i="4"/>
  <c r="U55" i="4"/>
  <c r="Q55" i="4" s="1"/>
  <c r="Y52" i="4" s="1"/>
  <c r="F73" i="4"/>
  <c r="U58" i="4" l="1"/>
  <c r="Y57" i="4" s="1"/>
  <c r="G24" i="4" s="1"/>
  <c r="Q56" i="4" l="1"/>
  <c r="F46" i="4" s="1"/>
  <c r="Q80" i="4" l="1"/>
  <c r="Q76" i="4"/>
  <c r="F78" i="4"/>
  <c r="J78" i="4"/>
  <c r="F80" i="4"/>
  <c r="J80" i="4"/>
</calcChain>
</file>

<file path=xl/sharedStrings.xml><?xml version="1.0" encoding="utf-8"?>
<sst xmlns="http://schemas.openxmlformats.org/spreadsheetml/2006/main" count="304" uniqueCount="229">
  <si>
    <t>REVISION HISTORY:</t>
  </si>
  <si>
    <t>Note:</t>
  </si>
  <si>
    <t>n</t>
  </si>
  <si>
    <t xml:space="preserve"> </t>
  </si>
  <si>
    <t>HOR PIXELS</t>
  </si>
  <si>
    <t>PIXELS</t>
  </si>
  <si>
    <t>VER PIXELS</t>
  </si>
  <si>
    <t>LINES</t>
  </si>
  <si>
    <t>HOR FREQUENCY</t>
  </si>
  <si>
    <t>kHz</t>
  </si>
  <si>
    <t>(Actual value =)</t>
  </si>
  <si>
    <t>Hz</t>
  </si>
  <si>
    <t xml:space="preserve">Total lines = </t>
  </si>
  <si>
    <t>PIXEL CLOCK</t>
  </si>
  <si>
    <t>MHz</t>
  </si>
  <si>
    <t xml:space="preserve">CHARACTER WIDTH </t>
  </si>
  <si>
    <t>ns</t>
  </si>
  <si>
    <t>Total number of pixels=</t>
  </si>
  <si>
    <t>SCAN TYPE</t>
  </si>
  <si>
    <t>PREDICTED H BLANK DUTY CYCLE</t>
  </si>
  <si>
    <t>%</t>
  </si>
  <si>
    <t>us</t>
  </si>
  <si>
    <t>CHARS</t>
  </si>
  <si>
    <t>ACTUAL HOR BLANK DUTY CYCLE</t>
  </si>
  <si>
    <t>ACT. HOR BLNK+MARGIN DUTY CYCLE</t>
  </si>
  <si>
    <t xml:space="preserve">H LEFT MARGIN </t>
  </si>
  <si>
    <t xml:space="preserve">H FRONT PORCH </t>
  </si>
  <si>
    <t>H BACK PORCH</t>
  </si>
  <si>
    <t>H RIGHT MARGIN</t>
  </si>
  <si>
    <t>ms</t>
  </si>
  <si>
    <t>V TOP MARGIN</t>
  </si>
  <si>
    <t>V FRONT PORCH</t>
  </si>
  <si>
    <t>V BACK PORCH</t>
  </si>
  <si>
    <t>V BOTTOM MARGIN</t>
  </si>
  <si>
    <t>DEFAULT PARAMETER VALUES</t>
  </si>
  <si>
    <t>1) These are the default values that define the MARGIN size:</t>
  </si>
  <si>
    <t xml:space="preserve"> Only ratio of MARGIN to image is important. Top and Bottom MARGINs are equal</t>
  </si>
  <si>
    <t xml:space="preserve">Side MARGINs are proportional to the ratio of image H/V pixels </t>
  </si>
  <si>
    <t>GIVE:</t>
  </si>
  <si>
    <t>2) This default value defines the horizontal timing boundaries:</t>
  </si>
  <si>
    <t>3) These default values define analog system sync pulse width limitations:</t>
  </si>
  <si>
    <t>Vertical sync width (in lines) will be rounded down to nearest integer</t>
  </si>
  <si>
    <t>Horizontal sync width will be rounded to nearest char cell boundary</t>
  </si>
  <si>
    <t xml:space="preserve">Vertical blanking time will rounded to nearest integer number of lines </t>
  </si>
  <si>
    <t>5) Definition of Horizontal blanking time limitation:</t>
  </si>
  <si>
    <t>Generalized blanking limitation formula used of the form:</t>
  </si>
  <si>
    <t xml:space="preserve">&lt;H BLANKING TIME (%)&gt; =C - ( M / Fh)  </t>
  </si>
  <si>
    <t>Where:</t>
  </si>
  <si>
    <t>HOR TOTAL</t>
  </si>
  <si>
    <t>HOR ADDR</t>
  </si>
  <si>
    <t>HOR BLANK</t>
  </si>
  <si>
    <t>HOR BLANK+MARGIN</t>
  </si>
  <si>
    <t>HOR SYNC</t>
  </si>
  <si>
    <t>VER TOTAL</t>
  </si>
  <si>
    <t>VER ADDR</t>
  </si>
  <si>
    <t>VER BLANK</t>
  </si>
  <si>
    <t>VER SYNC</t>
  </si>
  <si>
    <t>(from GTF blanking formula)</t>
  </si>
  <si>
    <t>4) These default values define analog scan system vertical blanking time limitations:</t>
  </si>
  <si>
    <t>ACTUAL VER FREQUENCY</t>
  </si>
  <si>
    <t>M' = K / 256 * M</t>
  </si>
  <si>
    <t>C' = ( ( C - J ) * K / 256 ) + J</t>
  </si>
  <si>
    <t>REDUCED BLANKING SCRATCH PAD:</t>
  </si>
  <si>
    <t>(Actual value)</t>
  </si>
  <si>
    <t>COMMON TIMING PARAMETERS:</t>
  </si>
  <si>
    <t>RESULTS:</t>
  </si>
  <si>
    <t>Actual Pixel Clock (MHz):</t>
  </si>
  <si>
    <t>Actual Vertical Frequency (Hz):</t>
  </si>
  <si>
    <t>Actual Horizontal Frequency (kHz):</t>
  </si>
  <si>
    <t>Horizontal Total (Pixels):</t>
  </si>
  <si>
    <t>Horizontal Blanking (Pixels):</t>
  </si>
  <si>
    <t>Vertical Total (lines):</t>
  </si>
  <si>
    <t>Hor Front Porch:</t>
  </si>
  <si>
    <t>Hor Sync:</t>
  </si>
  <si>
    <t>Hor Back Porch:</t>
  </si>
  <si>
    <t>Vertical Blanking (lines):</t>
  </si>
  <si>
    <t>Ver Front Porch:</t>
  </si>
  <si>
    <t>Ver Sync:</t>
  </si>
  <si>
    <t>Ver Back Porch:</t>
  </si>
  <si>
    <t>STATUS:</t>
  </si>
  <si>
    <t>ASPECT RATIO</t>
  </si>
  <si>
    <t>1) Enter Desired Horizontal Pixels Here =&gt;</t>
  </si>
  <si>
    <t>3) Enter If You Want Margins Here (Y or N) =&gt;</t>
  </si>
  <si>
    <t>4) Enter If You Want Interlace Here (Y or N) =&gt;</t>
  </si>
  <si>
    <t>5) Enter Vertical Scan Frame Rate Here =&gt;</t>
  </si>
  <si>
    <t>STANDARD TIMING:</t>
  </si>
  <si>
    <t>REDUCED BLANKING TIMING:</t>
  </si>
  <si>
    <t>HORIZONTAL PIXELS</t>
  </si>
  <si>
    <t>DETERMINE LEFT &amp; RIGHT BORDERS</t>
  </si>
  <si>
    <t>FIND TOTAL ACTIVE PIXELS</t>
  </si>
  <si>
    <t>FIND NUMBER OF LINES PER FIELD</t>
  </si>
  <si>
    <t>FIND TOP &amp; BOTTOM MARGINS</t>
  </si>
  <si>
    <t>INTERLACE</t>
  </si>
  <si>
    <t>CONSTANTS:</t>
  </si>
  <si>
    <t>SPEC STEP #:</t>
  </si>
  <si>
    <t>Estimated Horizontal Frequency (kHz):</t>
  </si>
  <si>
    <t xml:space="preserve">H_PERIOD_EST = </t>
  </si>
  <si>
    <t xml:space="preserve">ACT_H_FREQ = </t>
  </si>
  <si>
    <t xml:space="preserve">ACT_FRAME_RATE = </t>
  </si>
  <si>
    <t xml:space="preserve">ACT_PIXEL_FREQ = </t>
  </si>
  <si>
    <t xml:space="preserve">TOTAL_PIXELS = </t>
  </si>
  <si>
    <t xml:space="preserve">H_BLANK = </t>
  </si>
  <si>
    <t xml:space="preserve">H_FRONT_PORCH = </t>
  </si>
  <si>
    <t xml:space="preserve">H_SYNC_RND = </t>
  </si>
  <si>
    <t xml:space="preserve">H_BACK_PORCH = </t>
  </si>
  <si>
    <t xml:space="preserve">TOTAL_V_LINES = </t>
  </si>
  <si>
    <t xml:space="preserve">V_BLANK = </t>
  </si>
  <si>
    <t xml:space="preserve">V_FRONT_PORCH = </t>
  </si>
  <si>
    <t xml:space="preserve">V_SYNC_RND = </t>
  </si>
  <si>
    <t xml:space="preserve">V_BACK_PROCH = </t>
  </si>
  <si>
    <t xml:space="preserve">H_PIXELS_RND = </t>
  </si>
  <si>
    <t xml:space="preserve">LEFT_MARGIN = </t>
  </si>
  <si>
    <t xml:space="preserve">RIGHT_MARGIN = </t>
  </si>
  <si>
    <t xml:space="preserve">TOTAL_ACTIVE_PIXELS = </t>
  </si>
  <si>
    <t xml:space="preserve">V_LINES_RND = </t>
  </si>
  <si>
    <t xml:space="preserve">TOP_MARGIN = </t>
  </si>
  <si>
    <t xml:space="preserve">BOT_MARGIN = </t>
  </si>
  <si>
    <t xml:space="preserve">INTERLACE = </t>
  </si>
  <si>
    <t>V_SYNC_BP</t>
  </si>
  <si>
    <t>IDEAL_DUTY_CYCLE</t>
  </si>
  <si>
    <t xml:space="preserve">VBI_LINES = </t>
  </si>
  <si>
    <t>H_SYNC_PER (%) =</t>
  </si>
  <si>
    <t>RB_MIN_V_BLANK (us) =</t>
  </si>
  <si>
    <t>RB_H_SYNC (Pixels) =</t>
  </si>
  <si>
    <t>RB_H_BLANK (Pixels) =</t>
  </si>
  <si>
    <t>CELL_GRAN_RND (Pixels) =</t>
  </si>
  <si>
    <t>MARGIN_PER (%) =</t>
  </si>
  <si>
    <t xml:space="preserve">MIN_V_PORCH_RND (Lines) = </t>
  </si>
  <si>
    <t xml:space="preserve">V_FIELD_RATE (Hz) = </t>
  </si>
  <si>
    <t>REQUIRED FIELD RATE</t>
  </si>
  <si>
    <t>Estimated H period =</t>
  </si>
  <si>
    <t>Back porch =</t>
  </si>
  <si>
    <t>Blanking time =</t>
  </si>
  <si>
    <t>FIND PIXEL CLOCK FREQUENCY (MHz):</t>
  </si>
  <si>
    <t>Non-rounded value =</t>
  </si>
  <si>
    <t>FIND ACTUAL HORIZONTAL FREQUENCY (kHz):</t>
  </si>
  <si>
    <t xml:space="preserve">Horiz. freq = </t>
  </si>
  <si>
    <t>FIND ACTUAL FIELD RATE (Hz):</t>
  </si>
  <si>
    <t>FIND ACTUAL VERTICAL  FRAME FREQUENCY (Hz):</t>
  </si>
  <si>
    <t>ESTIMATE HORIZ. PERIOD (us):</t>
  </si>
  <si>
    <t>FIND NUMBER OF LINES IN (SYNC + BACK PORCH):</t>
  </si>
  <si>
    <t>FIND NUMBER OF LINES IN BACK PORCH (Lines):</t>
  </si>
  <si>
    <t>FIND TOTAL NUMBER OF LINES IN VERTICAL FIELD:</t>
  </si>
  <si>
    <t>FIND IDEAL BLANKING DUTY CYCLE FROM FORMULA (%):</t>
  </si>
  <si>
    <t>FIND BLANKING TIME TO NEAREST CHAR CELL (Pixels):</t>
  </si>
  <si>
    <t>FIND TOTAL NUMBER OF PIXELS IN A LINE (Pixels):</t>
  </si>
  <si>
    <t>FIND NUMBER OF LINES IN VERTICAL BLANKING:</t>
  </si>
  <si>
    <t>ACT_FIELD_RATE =</t>
  </si>
  <si>
    <t>Actual vertical field rate =</t>
  </si>
  <si>
    <t>Actual vertical frame rate =</t>
  </si>
  <si>
    <t>CHECKS:</t>
  </si>
  <si>
    <t>ERROR/WARNING MESSAGE</t>
  </si>
  <si>
    <t>Unlock Password: VESACVT</t>
  </si>
  <si>
    <t>VESA COORDINATED VIDEO TIMING</t>
  </si>
  <si>
    <t xml:space="preserve">GENERATOR </t>
  </si>
  <si>
    <t>1)</t>
  </si>
  <si>
    <t>Custom</t>
  </si>
  <si>
    <t>Reserved</t>
  </si>
  <si>
    <t>CHECK VERTICAL BLANKING IS SUFFICENT</t>
  </si>
  <si>
    <t>ACT_VBI_LINES =</t>
  </si>
  <si>
    <t>Description</t>
  </si>
  <si>
    <t>Standard CRT Based Timing (CVT-GTF)</t>
  </si>
  <si>
    <t>HSYNC POLARITY</t>
  </si>
  <si>
    <t>VSYNC POLARITY</t>
  </si>
  <si>
    <t>NEGATIVE</t>
  </si>
  <si>
    <t>POSITIVE</t>
  </si>
  <si>
    <t>16:9</t>
  </si>
  <si>
    <t>4:3</t>
  </si>
  <si>
    <t>16:10</t>
  </si>
  <si>
    <t>15:9</t>
  </si>
  <si>
    <t>5:4</t>
  </si>
  <si>
    <t>Minimum VBI Lines=</t>
  </si>
  <si>
    <t>STANDARD CRT TIMING SCRATCH PAD:</t>
  </si>
  <si>
    <t>Estimated V_SYNC_BP</t>
  </si>
  <si>
    <t xml:space="preserve">1) </t>
  </si>
  <si>
    <t>PIXEL CLOCK STEP (MHz):</t>
  </si>
  <si>
    <t>Minimum number of vertical back porch lines {DEFAULT = 6}</t>
  </si>
  <si>
    <t xml:space="preserve">MIN_VSYNC_BP (uS) = </t>
  </si>
  <si>
    <t>Reduced blanking vertical back porch error corrected to give 3 lines instead of 2</t>
  </si>
  <si>
    <t>Minimum vertical porch (no of lines) {DEFAULT = 3}</t>
  </si>
  <si>
    <t>K (blanking time scaling factor)  {DEFAULT = 128}</t>
  </si>
  <si>
    <t>M (gradient) (%/kHz)  {DEFAULT = 600}</t>
  </si>
  <si>
    <t>C (offset) (%)  {DEFAULT = 40}</t>
  </si>
  <si>
    <t>J (scaling factor weighting)  {DEFAULT = 20}</t>
  </si>
  <si>
    <t>Fixed number of clocks for horizontal sync  {DEFAULT = 32}</t>
  </si>
  <si>
    <t>Minimum vertical blanking interval time (us)  {DEFAULT = 460}</t>
  </si>
  <si>
    <t>Number of lines for vertical sync (lines)  {Derived from table}</t>
  </si>
  <si>
    <t>Nominal H sync width (% of line period)  {DEFAULT = 8}</t>
  </si>
  <si>
    <t>Top/ bottom MARGIN size as % of height  (%)  {DEFAULT = 1.8}</t>
  </si>
  <si>
    <t>ASPECT RATIO VARIABLES:</t>
  </si>
  <si>
    <t>Hsync</t>
  </si>
  <si>
    <t>Vsync</t>
  </si>
  <si>
    <t>VSYNC WIDTH</t>
  </si>
  <si>
    <t>HSYNC / VSYNC POLARITY</t>
  </si>
  <si>
    <t>Lines</t>
  </si>
  <si>
    <t>Based on GTF spreadsheet r1v1 developed by Andy Morrish.</t>
  </si>
  <si>
    <t>Apr 7, 2003: Rev 1.1</t>
  </si>
  <si>
    <t>Mar 26, 2003: Rev 1.0</t>
  </si>
  <si>
    <t>6) Enter If You Want Reduced Blanking Here (Y or N)  =&gt;</t>
  </si>
  <si>
    <t>CVT-RB ver 2</t>
  </si>
  <si>
    <t>Reduced Blanking (CVT-RB ver v1) &amp; (CVT-RB ver2)</t>
  </si>
  <si>
    <t>Minimum time of vertical sync+back porch interval (us) {DEFAULT = 550}</t>
  </si>
  <si>
    <t>Clock Step for reduced blank version 2 {DEFAULT = 0.001}</t>
  </si>
  <si>
    <t xml:space="preserve">Character cell horizontal granularity (pixels) </t>
  </si>
  <si>
    <t>Cell granularity (pixels) for reduced blank version 2 {DEFAULT = 1}</t>
  </si>
  <si>
    <t>Cell horizontal granularity (pixels)  {DEFAULT = 8}</t>
  </si>
  <si>
    <t>For reduced blank version 1{DEFAULT = 160}</t>
  </si>
  <si>
    <t>For reduced blank version 2{DEFAULT = 80}</t>
  </si>
  <si>
    <t>Developed By Graham Loveridge and updated by Syed Athar Hussain</t>
  </si>
  <si>
    <t>Fixed number of clocks for horizontal blanking</t>
  </si>
  <si>
    <t>y</t>
  </si>
  <si>
    <t>Fixed number of vertical back porch lines for reduced blank version 2 {DEFAULT = 6}</t>
  </si>
  <si>
    <t>Fixed number of lines for vertical front porch for reduced blank version 1{DEFAULT = 3}</t>
  </si>
  <si>
    <t>Clock Step for stnadard and reduced blank version 1 {DEFAULT = 0.25}</t>
  </si>
  <si>
    <t>Minimum number of vertical front porch lines reduced blank version 2 {DEFAULT = 1}</t>
  </si>
  <si>
    <t>Minimum number of vertical back porch lines for reduced blank version 1 {DEFAULT = 6}</t>
  </si>
  <si>
    <t xml:space="preserve">Reduced blanking version 2 as per CVT spec 1.2 added by Syed Athar Hussain. </t>
  </si>
  <si>
    <t xml:space="preserve">Vertical front porch </t>
  </si>
  <si>
    <t xml:space="preserve">Vertical back porch lines </t>
  </si>
  <si>
    <t>Comments, bugs, call VESA office</t>
  </si>
  <si>
    <t>Frame rate error in Hz</t>
  </si>
  <si>
    <t>7) Use Reduced Blank Timing version 2  (Y or N) =&gt;</t>
  </si>
  <si>
    <t>8) Apply (1000/1001) factor to Frame Rate for video optimized variant (Y or N) =&gt;</t>
  </si>
  <si>
    <t>Applicaple if  answer to question 6 is "Y"</t>
  </si>
  <si>
    <t>Applicaple if  answer to question 6 &amp; 7 is "Y"</t>
  </si>
  <si>
    <t>March 4, 2013</t>
  </si>
  <si>
    <t>2) Enter Desired Vertical Lines Here =&gt;</t>
  </si>
  <si>
    <t xml:space="preserve">Revision 1.2 </t>
  </si>
  <si>
    <t>March 4, 2013: Rev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</si>
</sst>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_);[Red]\(#,##0.000\)"/>
    <numFmt numFmtId="165" formatCode="0.0"/>
    <numFmt numFmtId="166" formatCode="#,##0.0_);[Red]\(#,##0.0\)"/>
    <numFmt numFmtId="167" formatCode="0.000"/>
    <numFmt numFmtId="168" formatCode="#,##0.0000_);[Red]\(#,##0.0000\)"/>
  </numFmts>
  <fonts count="48" x14ac:knownFonts="1">
    <font>
      <sz val="10"/>
      <name val="Arial"/>
    </font>
    <font>
      <sz val="10"/>
      <name val="Arial"/>
      <family val="2"/>
    </font>
    <font>
      <b/>
      <u/>
      <sz val="14"/>
      <name val="MS Sans Serif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b/>
      <sz val="24"/>
      <name val="MS Sans Serif"/>
      <family val="2"/>
    </font>
    <font>
      <sz val="14"/>
      <name val="MS Sans Serif"/>
      <family val="2"/>
    </font>
    <font>
      <b/>
      <u/>
      <sz val="10"/>
      <name val="Arial"/>
      <family val="2"/>
    </font>
    <font>
      <b/>
      <u/>
      <sz val="14"/>
      <name val="Arial"/>
      <family val="2"/>
    </font>
    <font>
      <b/>
      <u/>
      <sz val="18"/>
      <name val="MS Sans Serif"/>
      <family val="2"/>
    </font>
    <font>
      <b/>
      <sz val="18"/>
      <name val="MS Sans Serif"/>
      <family val="2"/>
    </font>
    <font>
      <sz val="14"/>
      <name val="Arial"/>
      <family val="2"/>
    </font>
    <font>
      <b/>
      <sz val="14"/>
      <name val="MS Sans Serif"/>
      <family val="2"/>
    </font>
    <font>
      <sz val="13.5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16"/>
      <name val="MS Sans Serif"/>
      <family val="2"/>
    </font>
    <font>
      <sz val="16"/>
      <name val="MS Sans Serif"/>
      <family val="2"/>
    </font>
    <font>
      <sz val="18"/>
      <name val="MS Sans Serif"/>
      <family val="2"/>
    </font>
    <font>
      <b/>
      <u/>
      <sz val="36"/>
      <name val="Arial"/>
      <family val="2"/>
    </font>
    <font>
      <u/>
      <sz val="14"/>
      <color indexed="10"/>
      <name val="Arial"/>
      <family val="2"/>
    </font>
    <font>
      <b/>
      <u/>
      <sz val="24"/>
      <color indexed="10"/>
      <name val="MS Sans Serif"/>
      <family val="2"/>
    </font>
    <font>
      <b/>
      <sz val="26"/>
      <name val="Arial"/>
      <family val="2"/>
    </font>
    <font>
      <b/>
      <sz val="18"/>
      <name val="Arial"/>
      <family val="2"/>
    </font>
    <font>
      <b/>
      <sz val="16"/>
      <name val="MS Sans Serif"/>
      <family val="2"/>
    </font>
    <font>
      <b/>
      <sz val="2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u/>
      <sz val="18"/>
      <name val="MS Sans Serif"/>
      <family val="2"/>
    </font>
    <font>
      <b/>
      <sz val="16"/>
      <name val="Arial"/>
      <family val="2"/>
    </font>
    <font>
      <b/>
      <u/>
      <sz val="20"/>
      <name val="Arial"/>
      <family val="2"/>
    </font>
    <font>
      <b/>
      <sz val="10"/>
      <name val="Arial"/>
      <family val="2"/>
    </font>
    <font>
      <b/>
      <sz val="16"/>
      <color indexed="10"/>
      <name val="MS Sans Serif"/>
      <family val="2"/>
    </font>
    <font>
      <b/>
      <sz val="16"/>
      <color indexed="10"/>
      <name val="Arial"/>
      <family val="2"/>
    </font>
    <font>
      <b/>
      <u/>
      <sz val="24"/>
      <name val="MS Sans Serif"/>
      <family val="2"/>
    </font>
    <font>
      <b/>
      <sz val="24"/>
      <color indexed="10"/>
      <name val="Arial"/>
      <family val="2"/>
    </font>
    <font>
      <b/>
      <u/>
      <sz val="10"/>
      <name val="MS Sans Serif"/>
      <family val="2"/>
    </font>
    <font>
      <b/>
      <u/>
      <sz val="10"/>
      <name val="Arial"/>
      <family val="2"/>
    </font>
    <font>
      <sz val="24"/>
      <name val="Arial"/>
      <family val="2"/>
    </font>
    <font>
      <b/>
      <sz val="36"/>
      <name val="Arial"/>
      <family val="2"/>
    </font>
    <font>
      <sz val="26"/>
      <name val="Arial"/>
      <family val="2"/>
    </font>
    <font>
      <sz val="12"/>
      <name val="Arial"/>
      <family val="2"/>
    </font>
    <font>
      <sz val="18"/>
      <name val="MS Sans Serif"/>
      <family val="2"/>
    </font>
    <font>
      <b/>
      <sz val="18"/>
      <name val="MS Sans Serif"/>
      <family val="2"/>
    </font>
    <font>
      <sz val="13.5"/>
      <name val="MS Sans Serif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9">
    <xf numFmtId="0" fontId="0" fillId="0" borderId="0" xfId="0"/>
    <xf numFmtId="0" fontId="25" fillId="0" borderId="1" xfId="0" applyFont="1" applyBorder="1" applyAlignment="1" applyProtection="1">
      <alignment horizontal="center" vertical="center"/>
      <protection locked="0"/>
    </xf>
    <xf numFmtId="1" fontId="22" fillId="0" borderId="1" xfId="0" applyNumberFormat="1" applyFont="1" applyBorder="1" applyAlignment="1" applyProtection="1">
      <alignment horizontal="center" vertical="center"/>
      <protection locked="0"/>
    </xf>
    <xf numFmtId="0" fontId="25" fillId="0" borderId="2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vertical="center"/>
    </xf>
    <xf numFmtId="0" fontId="25" fillId="0" borderId="0" xfId="0" applyFont="1" applyBorder="1" applyAlignment="1" applyProtection="1">
      <alignment horizontal="left" vertical="center"/>
    </xf>
    <xf numFmtId="0" fontId="26" fillId="0" borderId="0" xfId="0" applyFont="1" applyBorder="1" applyAlignment="1" applyProtection="1">
      <alignment vertical="center"/>
    </xf>
    <xf numFmtId="164" fontId="27" fillId="0" borderId="0" xfId="0" applyNumberFormat="1" applyFont="1" applyBorder="1" applyAlignment="1" applyProtection="1">
      <alignment vertical="center"/>
    </xf>
    <xf numFmtId="164" fontId="26" fillId="0" borderId="0" xfId="0" applyNumberFormat="1" applyFont="1" applyBorder="1" applyAlignment="1" applyProtection="1">
      <alignment vertical="center"/>
    </xf>
    <xf numFmtId="0" fontId="35" fillId="0" borderId="4" xfId="0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Continuous" vertical="center"/>
    </xf>
    <xf numFmtId="0" fontId="25" fillId="0" borderId="0" xfId="0" applyFont="1" applyBorder="1" applyAlignment="1" applyProtection="1">
      <alignment vertical="center"/>
    </xf>
    <xf numFmtId="0" fontId="28" fillId="0" borderId="0" xfId="0" applyFont="1" applyBorder="1" applyAlignment="1" applyProtection="1">
      <alignment vertical="center"/>
    </xf>
    <xf numFmtId="0" fontId="25" fillId="0" borderId="3" xfId="0" applyFont="1" applyBorder="1" applyAlignment="1" applyProtection="1">
      <alignment horizontal="left" vertical="center" wrapText="1"/>
    </xf>
    <xf numFmtId="0" fontId="25" fillId="0" borderId="4" xfId="0" applyFont="1" applyBorder="1" applyAlignment="1" applyProtection="1">
      <alignment horizontal="left" vertical="center"/>
    </xf>
    <xf numFmtId="0" fontId="26" fillId="0" borderId="0" xfId="0" applyFont="1" applyBorder="1" applyAlignment="1" applyProtection="1">
      <alignment horizontal="left" vertical="center" wrapText="1" indent="2"/>
    </xf>
    <xf numFmtId="0" fontId="25" fillId="0" borderId="0" xfId="0" applyFont="1" applyBorder="1" applyAlignment="1" applyProtection="1">
      <alignment horizontal="center" vertical="center"/>
    </xf>
    <xf numFmtId="0" fontId="35" fillId="0" borderId="0" xfId="0" applyFont="1" applyBorder="1" applyAlignment="1" applyProtection="1">
      <alignment horizontal="center" vertical="center" wrapText="1"/>
    </xf>
    <xf numFmtId="0" fontId="31" fillId="0" borderId="4" xfId="0" applyFont="1" applyBorder="1" applyAlignment="1" applyProtection="1">
      <alignment horizontal="center" vertical="center"/>
    </xf>
    <xf numFmtId="0" fontId="9" fillId="0" borderId="5" xfId="0" applyFont="1" applyBorder="1" applyAlignment="1" applyProtection="1">
      <alignment vertical="center"/>
    </xf>
    <xf numFmtId="0" fontId="5" fillId="0" borderId="5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</xf>
    <xf numFmtId="3" fontId="16" fillId="0" borderId="0" xfId="0" applyNumberFormat="1" applyFont="1" applyBorder="1" applyAlignment="1" applyProtection="1">
      <alignment horizontal="right" vertical="center"/>
    </xf>
    <xf numFmtId="0" fontId="16" fillId="0" borderId="0" xfId="0" applyFont="1" applyBorder="1" applyAlignment="1" applyProtection="1">
      <alignment horizontal="right" vertical="center"/>
    </xf>
    <xf numFmtId="0" fontId="17" fillId="0" borderId="0" xfId="0" applyFont="1" applyBorder="1" applyAlignment="1" applyProtection="1">
      <alignment horizontal="left" vertical="center"/>
    </xf>
    <xf numFmtId="164" fontId="16" fillId="0" borderId="0" xfId="0" applyNumberFormat="1" applyFont="1" applyBorder="1" applyAlignment="1" applyProtection="1">
      <alignment horizontal="right" vertical="center"/>
    </xf>
    <xf numFmtId="164" fontId="16" fillId="0" borderId="0" xfId="0" applyNumberFormat="1" applyFont="1" applyBorder="1" applyAlignment="1" applyProtection="1">
      <alignment vertical="center"/>
    </xf>
    <xf numFmtId="167" fontId="16" fillId="0" borderId="0" xfId="0" applyNumberFormat="1" applyFont="1" applyBorder="1" applyAlignment="1" applyProtection="1">
      <alignment horizontal="right" vertical="center"/>
    </xf>
    <xf numFmtId="164" fontId="16" fillId="0" borderId="6" xfId="0" applyNumberFormat="1" applyFont="1" applyBorder="1" applyAlignment="1" applyProtection="1">
      <alignment vertical="center"/>
    </xf>
    <xf numFmtId="164" fontId="16" fillId="0" borderId="7" xfId="0" applyNumberFormat="1" applyFont="1" applyBorder="1" applyAlignment="1" applyProtection="1">
      <alignment vertical="center"/>
    </xf>
    <xf numFmtId="164" fontId="16" fillId="0" borderId="0" xfId="0" applyNumberFormat="1" applyFont="1" applyBorder="1" applyAlignment="1" applyProtection="1">
      <alignment horizontal="centerContinuous" vertical="center"/>
    </xf>
    <xf numFmtId="1" fontId="24" fillId="0" borderId="0" xfId="0" applyNumberFormat="1" applyFont="1" applyBorder="1" applyAlignment="1" applyProtection="1">
      <alignment horizontal="centerContinuous" vertical="center"/>
    </xf>
    <xf numFmtId="0" fontId="16" fillId="0" borderId="0" xfId="0" applyFont="1" applyBorder="1" applyAlignment="1" applyProtection="1">
      <alignment horizontal="centerContinuous" vertical="center"/>
    </xf>
    <xf numFmtId="164" fontId="17" fillId="0" borderId="0" xfId="0" applyNumberFormat="1" applyFont="1" applyBorder="1" applyAlignment="1" applyProtection="1">
      <alignment horizontal="left" vertical="center"/>
    </xf>
    <xf numFmtId="166" fontId="16" fillId="0" borderId="0" xfId="0" applyNumberFormat="1" applyFont="1" applyBorder="1" applyAlignment="1" applyProtection="1">
      <alignment horizontal="right" vertical="center"/>
    </xf>
    <xf numFmtId="0" fontId="17" fillId="0" borderId="4" xfId="0" applyFont="1" applyBorder="1" applyAlignment="1" applyProtection="1">
      <alignment horizontal="left" vertical="center"/>
    </xf>
    <xf numFmtId="164" fontId="17" fillId="0" borderId="6" xfId="0" applyNumberFormat="1" applyFont="1" applyBorder="1" applyAlignment="1" applyProtection="1">
      <alignment horizontal="left" vertical="center"/>
    </xf>
    <xf numFmtId="166" fontId="16" fillId="0" borderId="6" xfId="0" applyNumberFormat="1" applyFont="1" applyBorder="1" applyAlignment="1" applyProtection="1">
      <alignment horizontal="right" vertical="center"/>
    </xf>
    <xf numFmtId="0" fontId="17" fillId="0" borderId="8" xfId="0" applyFont="1" applyBorder="1" applyAlignment="1" applyProtection="1">
      <alignment horizontal="left" vertical="center"/>
    </xf>
    <xf numFmtId="164" fontId="16" fillId="0" borderId="7" xfId="0" applyNumberFormat="1" applyFont="1" applyBorder="1" applyAlignment="1" applyProtection="1">
      <alignment horizontal="centerContinuous" vertical="center"/>
    </xf>
    <xf numFmtId="1" fontId="24" fillId="0" borderId="7" xfId="0" applyNumberFormat="1" applyFont="1" applyBorder="1" applyAlignment="1" applyProtection="1">
      <alignment horizontal="centerContinuous" vertical="center"/>
    </xf>
    <xf numFmtId="166" fontId="16" fillId="0" borderId="7" xfId="0" applyNumberFormat="1" applyFont="1" applyBorder="1" applyAlignment="1" applyProtection="1">
      <alignment horizontal="centerContinuous" vertical="center"/>
    </xf>
    <xf numFmtId="167" fontId="24" fillId="0" borderId="0" xfId="0" applyNumberFormat="1" applyFont="1" applyBorder="1" applyAlignment="1" applyProtection="1">
      <alignment vertical="center"/>
    </xf>
    <xf numFmtId="164" fontId="12" fillId="0" borderId="5" xfId="0" applyNumberFormat="1" applyFont="1" applyBorder="1" applyAlignment="1" applyProtection="1">
      <alignment vertical="center"/>
    </xf>
    <xf numFmtId="0" fontId="39" fillId="0" borderId="9" xfId="0" applyFont="1" applyBorder="1" applyAlignment="1" applyProtection="1">
      <alignment horizontal="left" vertical="center"/>
    </xf>
    <xf numFmtId="0" fontId="15" fillId="0" borderId="10" xfId="0" applyFont="1" applyBorder="1" applyAlignment="1" applyProtection="1">
      <alignment horizontal="center" vertical="center" wrapText="1"/>
    </xf>
    <xf numFmtId="0" fontId="15" fillId="0" borderId="11" xfId="0" applyFont="1" applyBorder="1" applyAlignment="1" applyProtection="1">
      <alignment horizontal="center" vertical="center" wrapText="1"/>
    </xf>
    <xf numFmtId="0" fontId="15" fillId="0" borderId="12" xfId="0" applyFont="1" applyBorder="1" applyAlignment="1" applyProtection="1">
      <alignment horizontal="center" vertical="center" wrapText="1"/>
    </xf>
    <xf numFmtId="0" fontId="9" fillId="0" borderId="11" xfId="0" applyFont="1" applyBorder="1" applyAlignment="1" applyProtection="1">
      <alignment vertical="center"/>
    </xf>
    <xf numFmtId="0" fontId="5" fillId="0" borderId="11" xfId="0" applyFont="1" applyBorder="1" applyAlignment="1" applyProtection="1">
      <alignment horizontal="center" vertical="center"/>
    </xf>
    <xf numFmtId="164" fontId="12" fillId="0" borderId="0" xfId="0" applyNumberFormat="1" applyFont="1" applyBorder="1" applyAlignment="1" applyProtection="1">
      <alignment vertical="center"/>
    </xf>
    <xf numFmtId="3" fontId="15" fillId="0" borderId="11" xfId="0" applyNumberFormat="1" applyFont="1" applyBorder="1" applyAlignment="1" applyProtection="1">
      <alignment horizontal="center" vertical="center" wrapText="1"/>
    </xf>
    <xf numFmtId="3" fontId="16" fillId="0" borderId="0" xfId="0" applyNumberFormat="1" applyFont="1" applyBorder="1" applyAlignment="1" applyProtection="1">
      <alignment vertical="center"/>
    </xf>
    <xf numFmtId="3" fontId="16" fillId="0" borderId="6" xfId="0" applyNumberFormat="1" applyFont="1" applyBorder="1" applyAlignment="1" applyProtection="1">
      <alignment horizontal="center" vertical="center"/>
    </xf>
    <xf numFmtId="3" fontId="16" fillId="0" borderId="6" xfId="0" applyNumberFormat="1" applyFont="1" applyBorder="1" applyAlignment="1" applyProtection="1">
      <alignment horizontal="right" vertical="center"/>
    </xf>
    <xf numFmtId="3" fontId="16" fillId="0" borderId="7" xfId="0" applyNumberFormat="1" applyFont="1" applyBorder="1" applyAlignment="1" applyProtection="1">
      <alignment horizontal="right" vertical="center"/>
    </xf>
    <xf numFmtId="0" fontId="46" fillId="0" borderId="13" xfId="0" applyFont="1" applyBorder="1" applyAlignment="1" applyProtection="1">
      <alignment horizontal="center" vertical="center"/>
    </xf>
    <xf numFmtId="0" fontId="46" fillId="0" borderId="14" xfId="0" applyFont="1" applyBorder="1" applyAlignment="1" applyProtection="1">
      <alignment horizontal="center" vertical="center"/>
    </xf>
    <xf numFmtId="0" fontId="46" fillId="0" borderId="15" xfId="0" applyFont="1" applyBorder="1" applyAlignment="1" applyProtection="1">
      <alignment vertical="center"/>
    </xf>
    <xf numFmtId="0" fontId="46" fillId="0" borderId="16" xfId="0" applyFont="1" applyBorder="1" applyAlignment="1" applyProtection="1">
      <alignment vertical="center"/>
    </xf>
    <xf numFmtId="0" fontId="46" fillId="0" borderId="17" xfId="0" applyFont="1" applyBorder="1" applyAlignment="1" applyProtection="1">
      <alignment horizontal="center" vertical="center"/>
    </xf>
    <xf numFmtId="0" fontId="46" fillId="0" borderId="18" xfId="0" applyFont="1" applyBorder="1" applyAlignment="1" applyProtection="1">
      <alignment horizontal="center" vertical="center"/>
    </xf>
    <xf numFmtId="0" fontId="46" fillId="0" borderId="19" xfId="0" applyFont="1" applyBorder="1" applyAlignment="1" applyProtection="1">
      <alignment horizontal="center" vertical="center"/>
    </xf>
    <xf numFmtId="0" fontId="46" fillId="0" borderId="20" xfId="0" applyFont="1" applyBorder="1" applyAlignment="1" applyProtection="1">
      <alignment vertical="center"/>
    </xf>
    <xf numFmtId="0" fontId="46" fillId="0" borderId="21" xfId="0" applyFont="1" applyBorder="1" applyAlignment="1" applyProtection="1">
      <alignment vertical="center"/>
    </xf>
    <xf numFmtId="0" fontId="46" fillId="0" borderId="22" xfId="0" applyFont="1" applyBorder="1" applyAlignment="1" applyProtection="1">
      <alignment horizontal="center" vertical="center"/>
    </xf>
    <xf numFmtId="0" fontId="41" fillId="0" borderId="0" xfId="0" applyFont="1" applyBorder="1" applyAlignment="1" applyProtection="1">
      <alignment horizontal="centerContinuous" vertical="center"/>
    </xf>
    <xf numFmtId="0" fontId="0" fillId="0" borderId="0" xfId="0" applyBorder="1" applyAlignment="1" applyProtection="1">
      <alignment horizontal="centerContinuous" vertical="center"/>
    </xf>
    <xf numFmtId="0" fontId="19" fillId="0" borderId="0" xfId="0" applyFont="1" applyBorder="1" applyAlignment="1" applyProtection="1">
      <alignment horizontal="centerContinuous" vertical="center"/>
    </xf>
    <xf numFmtId="0" fontId="0" fillId="0" borderId="0" xfId="0" applyAlignment="1" applyProtection="1">
      <alignment vertical="center"/>
    </xf>
    <xf numFmtId="1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15" fontId="25" fillId="0" borderId="0" xfId="0" quotePrefix="1" applyNumberFormat="1" applyFont="1" applyBorder="1" applyAlignment="1" applyProtection="1">
      <alignment horizontal="centerContinuous" vertical="center"/>
    </xf>
    <xf numFmtId="0" fontId="25" fillId="0" borderId="0" xfId="0" applyFont="1" applyBorder="1" applyAlignment="1" applyProtection="1">
      <alignment horizontal="centerContinuous" vertical="center"/>
    </xf>
    <xf numFmtId="0" fontId="29" fillId="0" borderId="0" xfId="0" applyFont="1" applyBorder="1" applyAlignment="1" applyProtection="1">
      <alignment horizontal="centerContinuous" vertical="center"/>
    </xf>
    <xf numFmtId="0" fontId="11" fillId="0" borderId="0" xfId="0" applyFont="1" applyBorder="1" applyAlignment="1" applyProtection="1">
      <alignment horizontal="centerContinuous" vertical="center"/>
    </xf>
    <xf numFmtId="0" fontId="8" fillId="0" borderId="0" xfId="0" applyFont="1" applyBorder="1" applyAlignment="1" applyProtection="1">
      <alignment horizontal="centerContinuous" vertical="center"/>
    </xf>
    <xf numFmtId="0" fontId="7" fillId="0" borderId="0" xfId="0" applyFont="1" applyAlignment="1" applyProtection="1">
      <alignment vertical="center"/>
    </xf>
    <xf numFmtId="0" fontId="32" fillId="0" borderId="0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43" fillId="0" borderId="0" xfId="0" applyFont="1" applyBorder="1" applyAlignment="1" applyProtection="1">
      <alignment vertical="center"/>
    </xf>
    <xf numFmtId="0" fontId="43" fillId="0" borderId="0" xfId="0" applyFont="1" applyAlignment="1" applyProtection="1">
      <alignment vertical="center"/>
    </xf>
    <xf numFmtId="1" fontId="43" fillId="0" borderId="0" xfId="0" applyNumberFormat="1" applyFont="1" applyAlignment="1" applyProtection="1">
      <alignment vertical="center"/>
    </xf>
    <xf numFmtId="0" fontId="43" fillId="0" borderId="0" xfId="0" applyFont="1" applyAlignment="1" applyProtection="1">
      <alignment horizontal="left" vertical="center"/>
    </xf>
    <xf numFmtId="0" fontId="43" fillId="0" borderId="0" xfId="0" applyFont="1" applyAlignment="1" applyProtection="1">
      <alignment horizontal="center" vertical="center"/>
    </xf>
    <xf numFmtId="0" fontId="43" fillId="0" borderId="0" xfId="0" applyFont="1" applyBorder="1" applyAlignment="1" applyProtection="1">
      <alignment horizontal="right" vertical="center"/>
    </xf>
    <xf numFmtId="1" fontId="43" fillId="0" borderId="0" xfId="0" applyNumberFormat="1" applyFont="1" applyAlignment="1" applyProtection="1">
      <alignment horizontal="center" vertical="center"/>
    </xf>
    <xf numFmtId="0" fontId="23" fillId="0" borderId="0" xfId="0" applyFont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27" fillId="0" borderId="5" xfId="0" applyFont="1" applyBorder="1" applyAlignment="1" applyProtection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0" fillId="0" borderId="11" xfId="0" applyBorder="1" applyAlignment="1" applyProtection="1">
      <alignment horizontal="center" vertical="center"/>
    </xf>
    <xf numFmtId="0" fontId="0" fillId="0" borderId="11" xfId="0" applyBorder="1" applyAlignment="1" applyProtection="1">
      <alignment vertical="center"/>
    </xf>
    <xf numFmtId="0" fontId="0" fillId="0" borderId="12" xfId="0" applyBorder="1" applyAlignment="1" applyProtection="1">
      <alignment vertical="center"/>
    </xf>
    <xf numFmtId="1" fontId="3" fillId="0" borderId="9" xfId="0" applyNumberFormat="1" applyFont="1" applyBorder="1" applyAlignment="1" applyProtection="1">
      <alignment vertical="center"/>
    </xf>
    <xf numFmtId="0" fontId="0" fillId="0" borderId="23" xfId="0" applyBorder="1" applyAlignment="1" applyProtection="1">
      <alignment horizontal="left" vertical="center"/>
    </xf>
    <xf numFmtId="0" fontId="0" fillId="0" borderId="24" xfId="0" applyBorder="1" applyAlignment="1" applyProtection="1">
      <alignment horizontal="center" vertical="center"/>
    </xf>
    <xf numFmtId="0" fontId="0" fillId="0" borderId="23" xfId="0" applyBorder="1" applyAlignment="1" applyProtection="1">
      <alignment vertical="center"/>
    </xf>
    <xf numFmtId="0" fontId="0" fillId="0" borderId="24" xfId="0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164" fontId="0" fillId="0" borderId="0" xfId="0" applyNumberFormat="1" applyBorder="1" applyAlignment="1" applyProtection="1">
      <alignment vertical="center"/>
    </xf>
    <xf numFmtId="1" fontId="28" fillId="0" borderId="25" xfId="0" applyNumberFormat="1" applyFont="1" applyBorder="1" applyAlignment="1" applyProtection="1">
      <alignment vertical="center" wrapText="1"/>
    </xf>
    <xf numFmtId="1" fontId="28" fillId="0" borderId="0" xfId="0" applyNumberFormat="1" applyFont="1" applyBorder="1" applyAlignment="1" applyProtection="1">
      <alignment vertical="center" wrapText="1"/>
    </xf>
    <xf numFmtId="164" fontId="0" fillId="0" borderId="26" xfId="0" applyNumberFormat="1" applyBorder="1" applyAlignment="1" applyProtection="1">
      <alignment horizontal="center" vertical="center"/>
    </xf>
    <xf numFmtId="1" fontId="0" fillId="0" borderId="25" xfId="0" applyNumberFormat="1" applyBorder="1" applyAlignment="1" applyProtection="1">
      <alignment vertical="center"/>
    </xf>
    <xf numFmtId="1" fontId="0" fillId="0" borderId="0" xfId="0" applyNumberFormat="1" applyBorder="1" applyAlignment="1" applyProtection="1">
      <alignment vertical="center"/>
    </xf>
    <xf numFmtId="0" fontId="0" fillId="0" borderId="25" xfId="0" applyBorder="1" applyAlignment="1" applyProtection="1">
      <alignment horizontal="center" vertical="center"/>
    </xf>
    <xf numFmtId="0" fontId="0" fillId="0" borderId="26" xfId="0" applyBorder="1" applyAlignment="1" applyProtection="1">
      <alignment vertical="center"/>
    </xf>
    <xf numFmtId="1" fontId="0" fillId="0" borderId="0" xfId="0" applyNumberFormat="1" applyBorder="1" applyAlignment="1" applyProtection="1">
      <alignment vertical="center" wrapText="1"/>
    </xf>
    <xf numFmtId="1" fontId="28" fillId="0" borderId="27" xfId="0" applyNumberFormat="1" applyFont="1" applyBorder="1" applyAlignment="1" applyProtection="1">
      <alignment vertical="center"/>
    </xf>
    <xf numFmtId="0" fontId="0" fillId="0" borderId="28" xfId="0" applyBorder="1" applyAlignment="1" applyProtection="1">
      <alignment horizontal="left" vertical="center" wrapText="1"/>
    </xf>
    <xf numFmtId="1" fontId="0" fillId="0" borderId="27" xfId="0" applyNumberFormat="1" applyBorder="1" applyAlignment="1" applyProtection="1">
      <alignment vertical="center"/>
    </xf>
    <xf numFmtId="0" fontId="0" fillId="0" borderId="28" xfId="0" applyBorder="1" applyAlignment="1" applyProtection="1">
      <alignment vertical="center"/>
    </xf>
    <xf numFmtId="164" fontId="0" fillId="0" borderId="29" xfId="0" applyNumberFormat="1" applyBorder="1" applyAlignment="1" applyProtection="1">
      <alignment horizontal="center" vertical="center"/>
    </xf>
    <xf numFmtId="1" fontId="38" fillId="0" borderId="9" xfId="0" applyNumberFormat="1" applyFont="1" applyBorder="1" applyAlignment="1" applyProtection="1">
      <alignment vertical="center"/>
    </xf>
    <xf numFmtId="1" fontId="39" fillId="0" borderId="25" xfId="0" applyNumberFormat="1" applyFont="1" applyBorder="1" applyAlignment="1" applyProtection="1">
      <alignment vertical="center"/>
    </xf>
    <xf numFmtId="0" fontId="0" fillId="0" borderId="26" xfId="0" applyBorder="1" applyAlignment="1" applyProtection="1">
      <alignment horizontal="center" vertical="center"/>
    </xf>
    <xf numFmtId="1" fontId="39" fillId="0" borderId="9" xfId="0" applyNumberFormat="1" applyFont="1" applyBorder="1" applyAlignment="1" applyProtection="1">
      <alignment vertical="center"/>
    </xf>
    <xf numFmtId="0" fontId="0" fillId="0" borderId="0" xfId="0" applyBorder="1" applyAlignment="1" applyProtection="1">
      <alignment horizontal="left" vertical="center"/>
    </xf>
    <xf numFmtId="164" fontId="4" fillId="0" borderId="0" xfId="0" applyNumberFormat="1" applyFont="1" applyBorder="1" applyAlignment="1" applyProtection="1">
      <alignment vertical="center"/>
    </xf>
    <xf numFmtId="0" fontId="0" fillId="0" borderId="0" xfId="0" applyBorder="1" applyAlignment="1" applyProtection="1">
      <alignment horizontal="left" vertical="center" indent="2"/>
    </xf>
    <xf numFmtId="1" fontId="1" fillId="0" borderId="25" xfId="0" applyNumberFormat="1" applyFont="1" applyBorder="1" applyAlignment="1" applyProtection="1">
      <alignment vertical="center"/>
    </xf>
    <xf numFmtId="164" fontId="1" fillId="0" borderId="0" xfId="0" applyNumberFormat="1" applyFont="1" applyBorder="1" applyAlignment="1" applyProtection="1">
      <alignment horizontal="left" vertical="center"/>
    </xf>
    <xf numFmtId="0" fontId="33" fillId="0" borderId="25" xfId="0" applyFont="1" applyBorder="1" applyAlignment="1" applyProtection="1">
      <alignment horizontal="left" vertical="center"/>
    </xf>
    <xf numFmtId="1" fontId="4" fillId="0" borderId="25" xfId="0" applyNumberFormat="1" applyFont="1" applyBorder="1" applyAlignment="1" applyProtection="1">
      <alignment vertical="center"/>
    </xf>
    <xf numFmtId="164" fontId="4" fillId="0" borderId="0" xfId="0" applyNumberFormat="1" applyFont="1" applyBorder="1" applyAlignment="1" applyProtection="1">
      <alignment horizontal="left" vertical="center"/>
    </xf>
    <xf numFmtId="3" fontId="0" fillId="0" borderId="26" xfId="0" applyNumberFormat="1" applyBorder="1" applyAlignment="1" applyProtection="1">
      <alignment horizontal="center" vertical="center"/>
    </xf>
    <xf numFmtId="2" fontId="0" fillId="0" borderId="26" xfId="0" applyNumberFormat="1" applyBorder="1" applyAlignment="1" applyProtection="1">
      <alignment horizontal="center" vertical="center"/>
    </xf>
    <xf numFmtId="1" fontId="28" fillId="0" borderId="25" xfId="0" applyNumberFormat="1" applyFont="1" applyBorder="1" applyAlignment="1" applyProtection="1">
      <alignment vertical="center"/>
    </xf>
    <xf numFmtId="164" fontId="28" fillId="0" borderId="0" xfId="0" applyNumberFormat="1" applyFont="1" applyBorder="1" applyAlignment="1" applyProtection="1">
      <alignment horizontal="left" vertical="center"/>
    </xf>
    <xf numFmtId="0" fontId="0" fillId="0" borderId="0" xfId="0" applyFill="1" applyBorder="1" applyAlignment="1" applyProtection="1">
      <alignment vertical="center"/>
    </xf>
    <xf numFmtId="0" fontId="0" fillId="0" borderId="30" xfId="0" applyBorder="1" applyAlignment="1" applyProtection="1">
      <alignment vertical="center"/>
    </xf>
    <xf numFmtId="0" fontId="13" fillId="0" borderId="5" xfId="0" applyFont="1" applyBorder="1" applyAlignment="1" applyProtection="1">
      <alignment vertical="center"/>
    </xf>
    <xf numFmtId="0" fontId="0" fillId="0" borderId="5" xfId="0" applyBorder="1" applyAlignment="1" applyProtection="1">
      <alignment vertical="center"/>
    </xf>
    <xf numFmtId="164" fontId="18" fillId="0" borderId="5" xfId="0" applyNumberFormat="1" applyFont="1" applyBorder="1" applyAlignment="1" applyProtection="1">
      <alignment vertical="center"/>
    </xf>
    <xf numFmtId="0" fontId="0" fillId="0" borderId="31" xfId="0" applyBorder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164" fontId="18" fillId="0" borderId="11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164" fontId="18" fillId="0" borderId="0" xfId="0" applyNumberFormat="1" applyFont="1" applyBorder="1" applyAlignment="1" applyProtection="1">
      <alignment vertical="center"/>
    </xf>
    <xf numFmtId="0" fontId="28" fillId="0" borderId="0" xfId="0" applyFont="1" applyBorder="1" applyAlignment="1" applyProtection="1">
      <alignment horizontal="left" vertical="center"/>
    </xf>
    <xf numFmtId="3" fontId="0" fillId="0" borderId="0" xfId="0" applyNumberFormat="1" applyBorder="1" applyAlignment="1" applyProtection="1">
      <alignment vertical="center"/>
    </xf>
    <xf numFmtId="164" fontId="28" fillId="0" borderId="0" xfId="0" applyNumberFormat="1" applyFont="1" applyFill="1" applyBorder="1" applyAlignment="1" applyProtection="1">
      <alignment horizontal="left" vertical="center"/>
    </xf>
    <xf numFmtId="3" fontId="34" fillId="0" borderId="11" xfId="0" applyNumberFormat="1" applyFont="1" applyBorder="1" applyAlignment="1" applyProtection="1">
      <alignment vertical="center"/>
    </xf>
    <xf numFmtId="0" fontId="15" fillId="0" borderId="3" xfId="0" applyFont="1" applyBorder="1" applyAlignment="1" applyProtection="1">
      <alignment vertical="center"/>
    </xf>
    <xf numFmtId="0" fontId="16" fillId="0" borderId="0" xfId="0" applyFont="1" applyBorder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0" fontId="15" fillId="0" borderId="0" xfId="0" quotePrefix="1" applyFont="1" applyBorder="1" applyAlignment="1" applyProtection="1">
      <alignment vertical="center"/>
    </xf>
    <xf numFmtId="3" fontId="34" fillId="0" borderId="0" xfId="0" applyNumberFormat="1" applyFont="1" applyBorder="1" applyAlignment="1" applyProtection="1">
      <alignment vertical="center"/>
    </xf>
    <xf numFmtId="0" fontId="17" fillId="0" borderId="0" xfId="0" applyFont="1" applyBorder="1" applyAlignment="1" applyProtection="1">
      <alignment vertical="center"/>
    </xf>
    <xf numFmtId="3" fontId="17" fillId="0" borderId="0" xfId="0" applyNumberFormat="1" applyFont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5" fillId="0" borderId="4" xfId="0" applyFont="1" applyBorder="1" applyAlignment="1" applyProtection="1">
      <alignment vertical="center"/>
    </xf>
    <xf numFmtId="3" fontId="16" fillId="0" borderId="0" xfId="0" applyNumberFormat="1" applyFont="1" applyBorder="1" applyAlignment="1" applyProtection="1">
      <alignment horizontal="center" vertical="center"/>
    </xf>
    <xf numFmtId="3" fontId="17" fillId="0" borderId="0" xfId="0" applyNumberFormat="1" applyFont="1" applyBorder="1" applyAlignment="1" applyProtection="1">
      <alignment vertical="center"/>
    </xf>
    <xf numFmtId="164" fontId="0" fillId="0" borderId="0" xfId="0" applyNumberFormat="1" applyFill="1" applyBorder="1" applyAlignment="1" applyProtection="1">
      <alignment horizontal="left" vertical="center"/>
    </xf>
    <xf numFmtId="164" fontId="28" fillId="0" borderId="28" xfId="0" applyNumberFormat="1" applyFont="1" applyBorder="1" applyAlignment="1" applyProtection="1">
      <alignment horizontal="left" vertical="center"/>
    </xf>
    <xf numFmtId="165" fontId="0" fillId="0" borderId="29" xfId="0" applyNumberFormat="1" applyBorder="1" applyAlignment="1" applyProtection="1">
      <alignment horizontal="center" vertical="center"/>
    </xf>
    <xf numFmtId="1" fontId="28" fillId="0" borderId="32" xfId="0" applyNumberFormat="1" applyFont="1" applyBorder="1" applyAlignment="1" applyProtection="1">
      <alignment vertical="center"/>
    </xf>
    <xf numFmtId="164" fontId="28" fillId="0" borderId="32" xfId="0" applyNumberFormat="1" applyFont="1" applyBorder="1" applyAlignment="1" applyProtection="1">
      <alignment horizontal="left" vertical="center"/>
    </xf>
    <xf numFmtId="165" fontId="0" fillId="0" borderId="32" xfId="0" applyNumberFormat="1" applyBorder="1" applyAlignment="1" applyProtection="1">
      <alignment horizontal="center" vertical="center"/>
    </xf>
    <xf numFmtId="3" fontId="17" fillId="0" borderId="0" xfId="0" quotePrefix="1" applyNumberFormat="1" applyFont="1" applyBorder="1" applyAlignment="1" applyProtection="1">
      <alignment vertical="center"/>
    </xf>
    <xf numFmtId="0" fontId="17" fillId="0" borderId="0" xfId="0" quotePrefix="1" applyNumberFormat="1" applyFont="1" applyBorder="1" applyAlignment="1" applyProtection="1">
      <alignment vertical="center"/>
    </xf>
    <xf numFmtId="3" fontId="17" fillId="0" borderId="0" xfId="0" quotePrefix="1" applyNumberFormat="1" applyFont="1" applyBorder="1" applyAlignment="1" applyProtection="1">
      <alignment horizontal="center" vertical="center"/>
    </xf>
    <xf numFmtId="0" fontId="15" fillId="0" borderId="0" xfId="0" quotePrefix="1" applyNumberFormat="1" applyFont="1" applyBorder="1" applyAlignment="1" applyProtection="1">
      <alignment vertical="center"/>
    </xf>
    <xf numFmtId="1" fontId="39" fillId="0" borderId="9" xfId="0" applyNumberFormat="1" applyFont="1" applyFill="1" applyBorder="1" applyAlignment="1" applyProtection="1">
      <alignment vertical="center"/>
    </xf>
    <xf numFmtId="1" fontId="0" fillId="0" borderId="25" xfId="0" applyNumberFormat="1" applyBorder="1" applyAlignment="1" applyProtection="1">
      <alignment horizontal="right" vertical="center"/>
    </xf>
    <xf numFmtId="167" fontId="17" fillId="0" borderId="0" xfId="0" applyNumberFormat="1" applyFont="1" applyBorder="1" applyAlignment="1" applyProtection="1">
      <alignment horizontal="left" vertical="center"/>
    </xf>
    <xf numFmtId="167" fontId="17" fillId="0" borderId="0" xfId="0" applyNumberFormat="1" applyFont="1" applyBorder="1" applyAlignment="1" applyProtection="1">
      <alignment vertical="center"/>
    </xf>
    <xf numFmtId="167" fontId="15" fillId="0" borderId="0" xfId="0" applyNumberFormat="1" applyFont="1" applyBorder="1" applyAlignment="1" applyProtection="1">
      <alignment vertical="center"/>
    </xf>
    <xf numFmtId="1" fontId="28" fillId="0" borderId="25" xfId="0" applyNumberFormat="1" applyFont="1" applyFill="1" applyBorder="1" applyAlignment="1" applyProtection="1">
      <alignment vertical="center"/>
    </xf>
    <xf numFmtId="0" fontId="28" fillId="0" borderId="26" xfId="0" applyFont="1" applyBorder="1" applyAlignment="1" applyProtection="1">
      <alignment horizontal="center" vertical="center"/>
    </xf>
    <xf numFmtId="167" fontId="0" fillId="0" borderId="26" xfId="0" applyNumberFormat="1" applyBorder="1" applyAlignment="1" applyProtection="1">
      <alignment horizontal="center" vertical="center"/>
    </xf>
    <xf numFmtId="167" fontId="28" fillId="0" borderId="26" xfId="0" applyNumberFormat="1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vertical="center"/>
    </xf>
    <xf numFmtId="0" fontId="15" fillId="0" borderId="6" xfId="0" applyFont="1" applyBorder="1" applyAlignment="1" applyProtection="1">
      <alignment vertical="center"/>
    </xf>
    <xf numFmtId="0" fontId="17" fillId="0" borderId="6" xfId="0" applyFont="1" applyBorder="1" applyAlignment="1" applyProtection="1">
      <alignment horizontal="left" vertical="center"/>
    </xf>
    <xf numFmtId="3" fontId="17" fillId="0" borderId="6" xfId="0" applyNumberFormat="1" applyFont="1" applyBorder="1" applyAlignment="1" applyProtection="1">
      <alignment vertical="center"/>
    </xf>
    <xf numFmtId="0" fontId="17" fillId="0" borderId="6" xfId="0" applyFont="1" applyBorder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33" xfId="0" applyFont="1" applyBorder="1" applyAlignment="1" applyProtection="1">
      <alignment vertical="center"/>
    </xf>
    <xf numFmtId="0" fontId="21" fillId="0" borderId="7" xfId="0" applyFont="1" applyBorder="1" applyAlignment="1" applyProtection="1">
      <alignment vertical="center"/>
    </xf>
    <xf numFmtId="3" fontId="24" fillId="0" borderId="0" xfId="0" applyNumberFormat="1" applyFont="1" applyBorder="1" applyAlignment="1" applyProtection="1">
      <alignment vertical="center"/>
    </xf>
    <xf numFmtId="164" fontId="17" fillId="0" borderId="0" xfId="0" applyNumberFormat="1" applyFont="1" applyBorder="1" applyAlignment="1" applyProtection="1">
      <alignment vertical="center"/>
    </xf>
    <xf numFmtId="1" fontId="24" fillId="0" borderId="0" xfId="0" applyNumberFormat="1" applyFont="1" applyBorder="1" applyAlignment="1" applyProtection="1">
      <alignment vertical="center"/>
    </xf>
    <xf numFmtId="0" fontId="0" fillId="0" borderId="29" xfId="0" applyBorder="1" applyAlignment="1" applyProtection="1">
      <alignment horizontal="center" vertical="center"/>
    </xf>
    <xf numFmtId="0" fontId="15" fillId="0" borderId="34" xfId="0" applyFont="1" applyBorder="1" applyAlignment="1" applyProtection="1">
      <alignment vertical="center"/>
    </xf>
    <xf numFmtId="0" fontId="16" fillId="0" borderId="6" xfId="0" applyFont="1" applyBorder="1" applyAlignment="1" applyProtection="1">
      <alignment vertical="center"/>
    </xf>
    <xf numFmtId="3" fontId="24" fillId="0" borderId="6" xfId="0" applyNumberFormat="1" applyFont="1" applyBorder="1" applyAlignment="1" applyProtection="1">
      <alignment vertical="center"/>
    </xf>
    <xf numFmtId="164" fontId="17" fillId="0" borderId="6" xfId="0" applyNumberFormat="1" applyFont="1" applyBorder="1" applyAlignment="1" applyProtection="1">
      <alignment vertical="center"/>
    </xf>
    <xf numFmtId="1" fontId="24" fillId="0" borderId="6" xfId="0" applyNumberFormat="1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164" fontId="17" fillId="0" borderId="7" xfId="0" applyNumberFormat="1" applyFont="1" applyBorder="1" applyAlignment="1" applyProtection="1">
      <alignment horizontal="left" vertical="center"/>
    </xf>
    <xf numFmtId="0" fontId="17" fillId="0" borderId="7" xfId="0" applyFont="1" applyBorder="1" applyAlignment="1" applyProtection="1">
      <alignment vertical="center"/>
    </xf>
    <xf numFmtId="3" fontId="24" fillId="0" borderId="7" xfId="0" applyNumberFormat="1" applyFont="1" applyBorder="1" applyAlignment="1" applyProtection="1">
      <alignment vertical="center"/>
    </xf>
    <xf numFmtId="164" fontId="17" fillId="0" borderId="7" xfId="0" applyNumberFormat="1" applyFont="1" applyBorder="1" applyAlignment="1" applyProtection="1">
      <alignment vertical="center"/>
    </xf>
    <xf numFmtId="1" fontId="24" fillId="0" borderId="7" xfId="0" applyNumberFormat="1" applyFont="1" applyBorder="1" applyAlignment="1" applyProtection="1">
      <alignment vertical="center"/>
    </xf>
    <xf numFmtId="0" fontId="15" fillId="0" borderId="35" xfId="0" applyFont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1" fontId="0" fillId="0" borderId="26" xfId="0" applyNumberFormat="1" applyBorder="1" applyAlignment="1" applyProtection="1">
      <alignment horizontal="center" vertical="center"/>
    </xf>
    <xf numFmtId="164" fontId="15" fillId="0" borderId="0" xfId="0" applyNumberFormat="1" applyFont="1" applyBorder="1" applyAlignment="1" applyProtection="1">
      <alignment vertical="center"/>
    </xf>
    <xf numFmtId="164" fontId="17" fillId="0" borderId="0" xfId="0" applyNumberFormat="1" applyFont="1" applyBorder="1" applyAlignment="1" applyProtection="1">
      <alignment horizontal="centerContinuous" vertical="center"/>
    </xf>
    <xf numFmtId="0" fontId="15" fillId="0" borderId="0" xfId="0" applyFont="1" applyBorder="1" applyAlignment="1" applyProtection="1">
      <alignment horizontal="centerContinuous" vertical="center"/>
    </xf>
    <xf numFmtId="0" fontId="15" fillId="0" borderId="4" xfId="0" applyFont="1" applyBorder="1" applyAlignment="1" applyProtection="1">
      <alignment horizontal="centerContinuous" vertical="center"/>
    </xf>
    <xf numFmtId="166" fontId="17" fillId="0" borderId="0" xfId="0" applyNumberFormat="1" applyFont="1" applyBorder="1" applyAlignment="1" applyProtection="1">
      <alignment vertical="center"/>
    </xf>
    <xf numFmtId="167" fontId="24" fillId="0" borderId="6" xfId="0" applyNumberFormat="1" applyFont="1" applyBorder="1" applyAlignment="1" applyProtection="1">
      <alignment vertical="center"/>
    </xf>
    <xf numFmtId="166" fontId="17" fillId="0" borderId="6" xfId="0" applyNumberFormat="1" applyFont="1" applyBorder="1" applyAlignment="1" applyProtection="1">
      <alignment vertical="center"/>
    </xf>
    <xf numFmtId="165" fontId="0" fillId="0" borderId="26" xfId="0" applyNumberFormat="1" applyBorder="1" applyAlignment="1" applyProtection="1">
      <alignment horizontal="center" vertical="center"/>
    </xf>
    <xf numFmtId="164" fontId="17" fillId="0" borderId="7" xfId="0" applyNumberFormat="1" applyFont="1" applyBorder="1" applyAlignment="1" applyProtection="1">
      <alignment horizontal="centerContinuous" vertical="center"/>
    </xf>
    <xf numFmtId="166" fontId="15" fillId="0" borderId="7" xfId="0" applyNumberFormat="1" applyFont="1" applyBorder="1" applyAlignment="1" applyProtection="1">
      <alignment horizontal="centerContinuous" vertical="center"/>
    </xf>
    <xf numFmtId="0" fontId="15" fillId="0" borderId="35" xfId="0" applyFont="1" applyBorder="1" applyAlignment="1" applyProtection="1">
      <alignment horizontal="centerContinuous" vertical="center"/>
    </xf>
    <xf numFmtId="0" fontId="12" fillId="0" borderId="5" xfId="0" applyFont="1" applyBorder="1" applyAlignment="1" applyProtection="1">
      <alignment vertical="center"/>
    </xf>
    <xf numFmtId="0" fontId="20" fillId="0" borderId="5" xfId="0" applyFont="1" applyBorder="1" applyAlignment="1" applyProtection="1">
      <alignment vertical="center"/>
    </xf>
    <xf numFmtId="0" fontId="11" fillId="0" borderId="5" xfId="0" applyFont="1" applyBorder="1" applyAlignment="1" applyProtection="1">
      <alignment vertical="center"/>
    </xf>
    <xf numFmtId="0" fontId="6" fillId="0" borderId="5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vertical="center"/>
    </xf>
    <xf numFmtId="0" fontId="6" fillId="0" borderId="5" xfId="0" applyFont="1" applyBorder="1" applyAlignment="1" applyProtection="1">
      <alignment horizontal="center" vertical="center"/>
    </xf>
    <xf numFmtId="0" fontId="11" fillId="0" borderId="31" xfId="0" applyFont="1" applyBorder="1" applyAlignment="1" applyProtection="1">
      <alignment vertical="center"/>
    </xf>
    <xf numFmtId="0" fontId="12" fillId="0" borderId="0" xfId="0" applyFont="1" applyBorder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28" xfId="0" applyBorder="1" applyAlignment="1" applyProtection="1">
      <alignment horizontal="left" vertical="center"/>
    </xf>
    <xf numFmtId="0" fontId="23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2" fillId="0" borderId="10" xfId="0" applyFont="1" applyBorder="1" applyAlignment="1" applyProtection="1">
      <alignment vertical="center"/>
    </xf>
    <xf numFmtId="0" fontId="2" fillId="0" borderId="11" xfId="0" applyFont="1" applyBorder="1" applyAlignment="1" applyProtection="1">
      <alignment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vertical="center"/>
    </xf>
    <xf numFmtId="0" fontId="36" fillId="0" borderId="3" xfId="0" applyFont="1" applyBorder="1" applyAlignment="1" applyProtection="1">
      <alignment horizontal="centerContinuous" vertical="center"/>
    </xf>
    <xf numFmtId="0" fontId="2" fillId="0" borderId="0" xfId="0" applyFont="1" applyBorder="1" applyAlignment="1" applyProtection="1">
      <alignment horizontal="centerContinuous" vertical="center"/>
    </xf>
    <xf numFmtId="0" fontId="11" fillId="0" borderId="4" xfId="0" applyFont="1" applyBorder="1" applyAlignment="1" applyProtection="1">
      <alignment horizontal="centerContinuous" vertical="center"/>
    </xf>
    <xf numFmtId="0" fontId="2" fillId="0" borderId="3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vertical="center"/>
    </xf>
    <xf numFmtId="0" fontId="30" fillId="0" borderId="3" xfId="0" applyFont="1" applyBorder="1" applyAlignment="1" applyProtection="1">
      <alignment horizontal="left" vertical="center" indent="3"/>
    </xf>
    <xf numFmtId="0" fontId="11" fillId="0" borderId="3" xfId="0" applyFont="1" applyBorder="1" applyAlignment="1" applyProtection="1">
      <alignment vertical="center"/>
    </xf>
    <xf numFmtId="0" fontId="11" fillId="0" borderId="0" xfId="0" applyFont="1" applyAlignment="1" applyProtection="1">
      <alignment horizontal="center" vertical="center"/>
    </xf>
    <xf numFmtId="0" fontId="29" fillId="0" borderId="0" xfId="0" applyFont="1" applyBorder="1" applyAlignment="1" applyProtection="1">
      <alignment horizontal="center" vertical="center" wrapText="1"/>
    </xf>
    <xf numFmtId="0" fontId="16" fillId="0" borderId="0" xfId="0" applyFont="1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10" fillId="0" borderId="1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/>
    </xf>
    <xf numFmtId="1" fontId="10" fillId="0" borderId="1" xfId="0" applyNumberFormat="1" applyFont="1" applyBorder="1" applyAlignment="1" applyProtection="1">
      <alignment horizontal="center" vertical="center"/>
    </xf>
    <xf numFmtId="1" fontId="10" fillId="0" borderId="0" xfId="0" applyNumberFormat="1" applyFont="1" applyBorder="1" applyAlignment="1" applyProtection="1">
      <alignment horizontal="center" vertical="center"/>
    </xf>
    <xf numFmtId="1" fontId="14" fillId="0" borderId="0" xfId="0" applyNumberFormat="1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164" fontId="12" fillId="0" borderId="0" xfId="0" applyNumberFormat="1" applyFont="1" applyBorder="1" applyAlignment="1" applyProtection="1">
      <alignment horizontal="center" vertical="center"/>
    </xf>
    <xf numFmtId="164" fontId="10" fillId="0" borderId="1" xfId="0" applyNumberFormat="1" applyFont="1" applyBorder="1" applyAlignment="1" applyProtection="1">
      <alignment horizontal="center" vertical="center"/>
    </xf>
    <xf numFmtId="164" fontId="10" fillId="0" borderId="0" xfId="0" applyNumberFormat="1" applyFont="1" applyBorder="1" applyAlignment="1" applyProtection="1">
      <alignment horizontal="center" vertical="center"/>
    </xf>
    <xf numFmtId="0" fontId="14" fillId="0" borderId="0" xfId="0" applyFont="1" applyAlignment="1" applyProtection="1">
      <alignment vertical="center"/>
    </xf>
    <xf numFmtId="0" fontId="14" fillId="0" borderId="0" xfId="0" applyFont="1" applyBorder="1" applyAlignment="1" applyProtection="1">
      <alignment vertical="center"/>
    </xf>
    <xf numFmtId="38" fontId="10" fillId="0" borderId="1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center" vertical="center"/>
    </xf>
    <xf numFmtId="164" fontId="15" fillId="0" borderId="0" xfId="0" applyNumberFormat="1" applyFont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right" vertical="center"/>
    </xf>
    <xf numFmtId="0" fontId="16" fillId="0" borderId="0" xfId="0" applyFont="1" applyBorder="1" applyAlignment="1" applyProtection="1">
      <alignment horizontal="center" vertical="center"/>
    </xf>
    <xf numFmtId="3" fontId="16" fillId="0" borderId="1" xfId="0" applyNumberFormat="1" applyFont="1" applyBorder="1" applyAlignment="1" applyProtection="1">
      <alignment horizontal="center" vertical="center"/>
    </xf>
    <xf numFmtId="0" fontId="0" fillId="0" borderId="0" xfId="0" applyNumberFormat="1" applyAlignment="1" applyProtection="1">
      <alignment horizontal="center" vertical="center"/>
    </xf>
    <xf numFmtId="38" fontId="10" fillId="0" borderId="36" xfId="0" applyNumberFormat="1" applyFont="1" applyBorder="1" applyAlignment="1" applyProtection="1">
      <alignment horizontal="center" vertical="center"/>
    </xf>
    <xf numFmtId="38" fontId="10" fillId="0" borderId="0" xfId="0" applyNumberFormat="1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 vertical="center"/>
    </xf>
    <xf numFmtId="0" fontId="26" fillId="0" borderId="4" xfId="0" applyFont="1" applyBorder="1" applyAlignment="1" applyProtection="1">
      <alignment vertical="center"/>
    </xf>
    <xf numFmtId="0" fontId="44" fillId="0" borderId="0" xfId="0" applyFont="1" applyBorder="1" applyAlignment="1" applyProtection="1">
      <alignment vertical="center"/>
    </xf>
    <xf numFmtId="0" fontId="44" fillId="0" borderId="0" xfId="0" applyFont="1" applyBorder="1" applyAlignment="1" applyProtection="1">
      <alignment horizontal="center" vertical="center"/>
    </xf>
    <xf numFmtId="0" fontId="44" fillId="0" borderId="4" xfId="0" applyFont="1" applyBorder="1" applyAlignment="1" applyProtection="1">
      <alignment vertical="center"/>
    </xf>
    <xf numFmtId="0" fontId="44" fillId="0" borderId="0" xfId="0" applyFont="1" applyAlignment="1" applyProtection="1">
      <alignment vertical="center"/>
    </xf>
    <xf numFmtId="1" fontId="44" fillId="0" borderId="0" xfId="0" applyNumberFormat="1" applyFont="1" applyAlignment="1" applyProtection="1">
      <alignment vertical="center"/>
    </xf>
    <xf numFmtId="0" fontId="44" fillId="0" borderId="0" xfId="0" applyFont="1" applyAlignment="1" applyProtection="1">
      <alignment horizontal="left" vertical="center"/>
    </xf>
    <xf numFmtId="0" fontId="44" fillId="0" borderId="0" xfId="0" applyFont="1" applyAlignment="1" applyProtection="1">
      <alignment horizontal="center" vertical="center"/>
    </xf>
    <xf numFmtId="0" fontId="44" fillId="0" borderId="3" xfId="0" applyFont="1" applyBorder="1" applyAlignment="1" applyProtection="1">
      <alignment vertical="center"/>
    </xf>
    <xf numFmtId="0" fontId="44" fillId="0" borderId="17" xfId="0" applyFont="1" applyBorder="1" applyAlignment="1" applyProtection="1">
      <alignment horizontal="center" vertical="center"/>
    </xf>
    <xf numFmtId="0" fontId="45" fillId="0" borderId="37" xfId="0" applyFont="1" applyBorder="1" applyAlignment="1" applyProtection="1">
      <alignment horizontal="center" vertical="center"/>
    </xf>
    <xf numFmtId="0" fontId="45" fillId="0" borderId="38" xfId="0" applyFont="1" applyBorder="1" applyAlignment="1" applyProtection="1">
      <alignment horizontal="center" vertical="center"/>
    </xf>
    <xf numFmtId="0" fontId="45" fillId="0" borderId="39" xfId="0" applyFont="1" applyBorder="1" applyAlignment="1" applyProtection="1">
      <alignment vertical="center"/>
    </xf>
    <xf numFmtId="0" fontId="44" fillId="0" borderId="32" xfId="0" applyFont="1" applyBorder="1" applyAlignment="1" applyProtection="1">
      <alignment vertical="center"/>
    </xf>
    <xf numFmtId="0" fontId="44" fillId="0" borderId="40" xfId="0" applyFont="1" applyBorder="1" applyAlignment="1" applyProtection="1">
      <alignment horizontal="center" vertical="center"/>
    </xf>
    <xf numFmtId="0" fontId="44" fillId="0" borderId="41" xfId="0" applyFont="1" applyBorder="1" applyAlignment="1" applyProtection="1">
      <alignment horizontal="center" vertical="center"/>
    </xf>
    <xf numFmtId="0" fontId="44" fillId="0" borderId="42" xfId="0" quotePrefix="1" applyFont="1" applyBorder="1" applyAlignment="1" applyProtection="1">
      <alignment vertical="center"/>
    </xf>
    <xf numFmtId="20" fontId="44" fillId="0" borderId="0" xfId="0" quotePrefix="1" applyNumberFormat="1" applyFont="1" applyBorder="1" applyAlignment="1" applyProtection="1">
      <alignment vertical="center"/>
    </xf>
    <xf numFmtId="0" fontId="44" fillId="0" borderId="0" xfId="0" quotePrefix="1" applyFont="1" applyBorder="1" applyAlignment="1" applyProtection="1">
      <alignment vertical="center"/>
    </xf>
    <xf numFmtId="20" fontId="44" fillId="0" borderId="42" xfId="0" applyNumberFormat="1" applyFont="1" applyBorder="1" applyAlignment="1" applyProtection="1">
      <alignment vertical="center"/>
    </xf>
    <xf numFmtId="20" fontId="44" fillId="0" borderId="43" xfId="0" applyNumberFormat="1" applyFont="1" applyBorder="1" applyAlignment="1" applyProtection="1">
      <alignment vertical="center"/>
    </xf>
    <xf numFmtId="0" fontId="44" fillId="0" borderId="22" xfId="0" applyFont="1" applyBorder="1" applyAlignment="1" applyProtection="1">
      <alignment horizontal="center" vertical="center"/>
    </xf>
    <xf numFmtId="0" fontId="44" fillId="0" borderId="30" xfId="0" applyFont="1" applyBorder="1" applyAlignment="1" applyProtection="1">
      <alignment vertical="center"/>
    </xf>
    <xf numFmtId="0" fontId="44" fillId="0" borderId="5" xfId="0" applyFont="1" applyBorder="1" applyAlignment="1" applyProtection="1">
      <alignment vertical="center"/>
    </xf>
    <xf numFmtId="20" fontId="44" fillId="0" borderId="5" xfId="0" applyNumberFormat="1" applyFont="1" applyBorder="1" applyAlignment="1" applyProtection="1">
      <alignment vertical="center"/>
    </xf>
    <xf numFmtId="0" fontId="44" fillId="0" borderId="31" xfId="0" applyFont="1" applyBorder="1" applyAlignment="1" applyProtection="1">
      <alignment vertical="center"/>
    </xf>
    <xf numFmtId="0" fontId="26" fillId="0" borderId="0" xfId="0" applyFont="1" applyAlignment="1" applyProtection="1">
      <alignment vertical="center"/>
    </xf>
    <xf numFmtId="1" fontId="26" fillId="0" borderId="0" xfId="0" applyNumberFormat="1" applyFont="1" applyAlignment="1" applyProtection="1">
      <alignment vertical="center"/>
    </xf>
    <xf numFmtId="0" fontId="26" fillId="0" borderId="0" xfId="0" applyFont="1" applyAlignment="1" applyProtection="1">
      <alignment horizontal="left" vertical="center"/>
    </xf>
    <xf numFmtId="0" fontId="26" fillId="0" borderId="0" xfId="0" applyFont="1" applyAlignment="1" applyProtection="1">
      <alignment horizontal="center" vertical="center"/>
    </xf>
    <xf numFmtId="0" fontId="27" fillId="0" borderId="0" xfId="0" applyFont="1" applyAlignment="1" applyProtection="1">
      <alignment horizontal="left" vertical="center"/>
    </xf>
    <xf numFmtId="1" fontId="0" fillId="0" borderId="0" xfId="0" applyNumberFormat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right" vertical="center"/>
    </xf>
    <xf numFmtId="3" fontId="0" fillId="0" borderId="0" xfId="0" applyNumberFormat="1" applyBorder="1" applyAlignment="1" applyProtection="1">
      <alignment horizontal="center" vertical="center"/>
    </xf>
    <xf numFmtId="0" fontId="0" fillId="0" borderId="0" xfId="0" applyAlignment="1" applyProtection="1">
      <alignment horizontal="right" vertical="center"/>
    </xf>
    <xf numFmtId="0" fontId="45" fillId="0" borderId="44" xfId="0" applyFont="1" applyBorder="1" applyAlignment="1" applyProtection="1">
      <alignment horizontal="center" vertical="center"/>
    </xf>
    <xf numFmtId="20" fontId="44" fillId="0" borderId="45" xfId="0" quotePrefix="1" applyNumberFormat="1" applyFont="1" applyBorder="1" applyAlignment="1" applyProtection="1">
      <alignment vertical="center"/>
    </xf>
    <xf numFmtId="0" fontId="0" fillId="0" borderId="0" xfId="0" applyBorder="1" applyAlignment="1" applyProtection="1">
      <alignment horizontal="left" vertical="center"/>
    </xf>
    <xf numFmtId="164" fontId="24" fillId="0" borderId="0" xfId="0" applyNumberFormat="1" applyFont="1" applyBorder="1" applyAlignment="1" applyProtection="1">
      <alignment vertical="center"/>
    </xf>
    <xf numFmtId="0" fontId="24" fillId="0" borderId="0" xfId="0" applyFont="1" applyAlignment="1" applyProtection="1">
      <alignment vertical="center"/>
    </xf>
    <xf numFmtId="0" fontId="24" fillId="0" borderId="0" xfId="0" applyFont="1" applyBorder="1" applyAlignment="1" applyProtection="1">
      <alignment vertical="center"/>
    </xf>
    <xf numFmtId="0" fontId="45" fillId="0" borderId="0" xfId="0" applyFont="1" applyBorder="1" applyAlignment="1" applyProtection="1">
      <alignment horizontal="center" vertical="center"/>
    </xf>
    <xf numFmtId="168" fontId="0" fillId="0" borderId="26" xfId="0" applyNumberFormat="1" applyBorder="1" applyAlignment="1" applyProtection="1">
      <alignment horizontal="center" vertical="center"/>
    </xf>
    <xf numFmtId="0" fontId="1" fillId="0" borderId="0" xfId="0" applyFont="1" applyAlignment="1" applyProtection="1">
      <alignment vertical="center"/>
    </xf>
    <xf numFmtId="11" fontId="1" fillId="0" borderId="0" xfId="0" applyNumberFormat="1" applyFont="1" applyAlignment="1" applyProtection="1">
      <alignment vertical="center"/>
    </xf>
    <xf numFmtId="0" fontId="35" fillId="0" borderId="3" xfId="0" applyFont="1" applyBorder="1" applyAlignment="1" applyProtection="1">
      <alignment horizontal="center" vertical="center" wrapText="1"/>
    </xf>
    <xf numFmtId="0" fontId="35" fillId="0" borderId="4" xfId="0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left" vertical="center" wrapText="1"/>
    </xf>
    <xf numFmtId="0" fontId="0" fillId="0" borderId="4" xfId="0" applyBorder="1" applyAlignment="1" applyProtection="1">
      <alignment horizontal="left" vertical="center" wrapText="1"/>
    </xf>
    <xf numFmtId="0" fontId="11" fillId="0" borderId="0" xfId="0" applyNumberFormat="1" applyFont="1" applyBorder="1" applyAlignment="1" applyProtection="1">
      <alignment horizontal="left" vertical="center" wrapText="1"/>
    </xf>
    <xf numFmtId="0" fontId="0" fillId="0" borderId="0" xfId="0" applyNumberFormat="1" applyBorder="1" applyAlignment="1" applyProtection="1">
      <alignment horizontal="left" vertical="center"/>
    </xf>
    <xf numFmtId="0" fontId="0" fillId="0" borderId="4" xfId="0" applyNumberFormat="1" applyBorder="1" applyAlignment="1" applyProtection="1">
      <alignment horizontal="left" vertical="center"/>
    </xf>
    <xf numFmtId="0" fontId="22" fillId="0" borderId="0" xfId="0" applyFont="1" applyBorder="1" applyAlignment="1" applyProtection="1">
      <alignment vertical="center"/>
    </xf>
    <xf numFmtId="0" fontId="42" fillId="0" borderId="0" xfId="0" applyFont="1" applyBorder="1" applyAlignment="1">
      <alignment vertical="center"/>
    </xf>
    <xf numFmtId="0" fontId="0" fillId="0" borderId="25" xfId="0" applyBorder="1" applyAlignment="1" applyProtection="1">
      <alignment vertical="center" wrapText="1"/>
    </xf>
    <xf numFmtId="0" fontId="0" fillId="0" borderId="0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37" fillId="0" borderId="46" xfId="0" applyFont="1" applyBorder="1" applyAlignment="1" applyProtection="1">
      <alignment horizontal="left" vertical="center" wrapText="1"/>
    </xf>
    <xf numFmtId="0" fontId="37" fillId="0" borderId="7" xfId="0" applyFont="1" applyBorder="1" applyAlignment="1" applyProtection="1">
      <alignment horizontal="left" vertical="center" wrapText="1"/>
    </xf>
    <xf numFmtId="0" fontId="37" fillId="0" borderId="47" xfId="0" applyFont="1" applyBorder="1" applyAlignment="1" applyProtection="1">
      <alignment horizontal="left" vertical="center" wrapText="1"/>
    </xf>
    <xf numFmtId="0" fontId="40" fillId="0" borderId="48" xfId="0" applyFont="1" applyBorder="1" applyAlignment="1">
      <alignment horizontal="left" vertical="center" wrapText="1"/>
    </xf>
    <xf numFmtId="0" fontId="40" fillId="0" borderId="0" xfId="0" applyFont="1" applyBorder="1" applyAlignment="1">
      <alignment horizontal="left" vertical="center" wrapText="1"/>
    </xf>
    <xf numFmtId="0" fontId="40" fillId="0" borderId="49" xfId="0" applyFont="1" applyBorder="1" applyAlignment="1">
      <alignment horizontal="left" vertical="center" wrapText="1"/>
    </xf>
    <xf numFmtId="0" fontId="0" fillId="0" borderId="4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9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25" fillId="0" borderId="49" xfId="0" applyFont="1" applyBorder="1" applyAlignment="1" applyProtection="1">
      <alignment horizontal="right" vertical="center"/>
    </xf>
    <xf numFmtId="0" fontId="0" fillId="0" borderId="49" xfId="0" applyBorder="1" applyAlignment="1">
      <alignment horizontal="right" vertical="center"/>
    </xf>
    <xf numFmtId="0" fontId="41" fillId="0" borderId="0" xfId="0" applyFont="1" applyBorder="1" applyAlignment="1" applyProtection="1">
      <alignment vertical="center"/>
    </xf>
    <xf numFmtId="0" fontId="28" fillId="0" borderId="0" xfId="0" applyFont="1" applyBorder="1" applyAlignment="1">
      <alignment vertical="center"/>
    </xf>
    <xf numFmtId="0" fontId="47" fillId="0" borderId="3" xfId="0" applyFont="1" applyBorder="1" applyAlignment="1" applyProtection="1">
      <alignment horizontal="left" vertical="center" wrapText="1"/>
    </xf>
    <xf numFmtId="0" fontId="47" fillId="0" borderId="4" xfId="0" applyFont="1" applyBorder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444"/>
  <sheetViews>
    <sheetView tabSelected="1" zoomScaleNormal="100" workbookViewId="0">
      <selection activeCell="J18" sqref="J18"/>
    </sheetView>
  </sheetViews>
  <sheetFormatPr defaultRowHeight="12.75" x14ac:dyDescent="0.2"/>
  <cols>
    <col min="1" max="1" width="4.28515625" style="70" customWidth="1"/>
    <col min="2" max="2" width="15.85546875" style="70" customWidth="1"/>
    <col min="3" max="3" width="22.28515625" style="70" customWidth="1"/>
    <col min="4" max="4" width="31.28515625" style="70" customWidth="1"/>
    <col min="5" max="5" width="12.42578125" style="70" customWidth="1"/>
    <col min="6" max="6" width="20.7109375" style="70" customWidth="1"/>
    <col min="7" max="7" width="15.7109375" style="70" customWidth="1"/>
    <col min="8" max="8" width="20.7109375" style="70" customWidth="1"/>
    <col min="9" max="9" width="15.7109375" style="70" customWidth="1"/>
    <col min="10" max="10" width="29.28515625" style="70" customWidth="1"/>
    <col min="11" max="12" width="20.7109375" style="70" customWidth="1"/>
    <col min="13" max="13" width="15.7109375" style="70" customWidth="1"/>
    <col min="14" max="14" width="6.7109375" style="70" customWidth="1"/>
    <col min="15" max="15" width="6.7109375" style="71" customWidth="1"/>
    <col min="16" max="16" width="34.7109375" style="72" customWidth="1"/>
    <col min="17" max="17" width="19.7109375" style="73" customWidth="1"/>
    <col min="18" max="18" width="6.7109375" style="313" customWidth="1"/>
    <col min="19" max="19" width="6.7109375" style="306" customWidth="1"/>
    <col min="20" max="20" width="34.7109375" style="70" customWidth="1"/>
    <col min="21" max="21" width="19.7109375" style="70" customWidth="1"/>
    <col min="22" max="22" width="6.7109375" style="70" customWidth="1"/>
    <col min="23" max="23" width="6.7109375" style="71" customWidth="1"/>
    <col min="24" max="24" width="34.7109375" style="70" customWidth="1"/>
    <col min="25" max="25" width="19.7109375" style="70" customWidth="1"/>
    <col min="26" max="27" width="6.7109375" style="70" customWidth="1"/>
    <col min="28" max="28" width="56.140625" style="70" customWidth="1"/>
    <col min="29" max="29" width="9.5703125" style="70" customWidth="1"/>
    <col min="30" max="30" width="14.140625" style="70" customWidth="1"/>
    <col min="31" max="31" width="16.42578125" style="73" customWidth="1"/>
    <col min="32" max="32" width="6.7109375" style="70" customWidth="1"/>
    <col min="33" max="33" width="9.5703125" style="70" customWidth="1"/>
    <col min="34" max="34" width="6.7109375" style="70" customWidth="1"/>
    <col min="35" max="35" width="12.7109375" style="70" customWidth="1"/>
    <col min="36" max="40" width="6.7109375" style="70" customWidth="1"/>
    <col min="41" max="41" width="10.140625" style="70" customWidth="1"/>
    <col min="42" max="42" width="9.85546875" style="70" customWidth="1"/>
    <col min="43" max="43" width="12.140625" style="70" customWidth="1"/>
    <col min="44" max="44" width="6.7109375" style="70" customWidth="1"/>
    <col min="45" max="45" width="9" style="70" customWidth="1"/>
    <col min="46" max="46" width="6.7109375" style="70" customWidth="1"/>
    <col min="47" max="47" width="9.28515625" style="70" customWidth="1"/>
    <col min="48" max="52" width="6.7109375" style="70" customWidth="1"/>
    <col min="53" max="16384" width="9.140625" style="70"/>
  </cols>
  <sheetData>
    <row r="1" spans="1:31" ht="45" x14ac:dyDescent="0.2">
      <c r="A1" s="67" t="s">
        <v>153</v>
      </c>
      <c r="B1" s="68"/>
      <c r="C1" s="69"/>
      <c r="D1" s="68"/>
      <c r="E1" s="68"/>
      <c r="F1" s="68"/>
      <c r="G1" s="68"/>
      <c r="H1" s="68"/>
      <c r="I1" s="68"/>
      <c r="J1" s="68"/>
      <c r="K1" s="68"/>
      <c r="L1" s="68"/>
      <c r="M1" s="68"/>
      <c r="R1" s="70"/>
      <c r="S1" s="71"/>
    </row>
    <row r="2" spans="1:31" ht="45" x14ac:dyDescent="0.2">
      <c r="A2" s="67" t="s">
        <v>154</v>
      </c>
      <c r="B2" s="68"/>
      <c r="C2" s="69"/>
      <c r="D2" s="68"/>
      <c r="E2" s="68"/>
      <c r="F2" s="68"/>
      <c r="G2" s="68"/>
      <c r="H2" s="68"/>
      <c r="I2" s="68"/>
      <c r="J2" s="68"/>
      <c r="K2" s="68"/>
      <c r="L2" s="68"/>
      <c r="M2" s="68"/>
      <c r="R2" s="70"/>
      <c r="S2" s="71"/>
    </row>
    <row r="3" spans="1:31" ht="39.950000000000003" customHeight="1" x14ac:dyDescent="0.2">
      <c r="A3" s="74" t="s">
        <v>225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R3" s="70"/>
      <c r="S3" s="71"/>
    </row>
    <row r="4" spans="1:31" ht="30" customHeight="1" x14ac:dyDescent="0.2">
      <c r="A4" s="75" t="s">
        <v>227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R4" s="70"/>
      <c r="S4" s="71"/>
    </row>
    <row r="5" spans="1:31" ht="30" customHeight="1" x14ac:dyDescent="0.2">
      <c r="A5" s="76" t="s">
        <v>208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R5" s="70"/>
      <c r="S5" s="71"/>
    </row>
    <row r="6" spans="1:31" ht="36" customHeight="1" x14ac:dyDescent="0.2">
      <c r="A6" s="76"/>
      <c r="B6" s="77"/>
      <c r="C6" s="78"/>
      <c r="D6" s="78"/>
      <c r="E6" s="78"/>
      <c r="F6" s="78"/>
      <c r="G6" s="78"/>
      <c r="H6" s="78"/>
      <c r="I6" s="78"/>
      <c r="J6" s="77"/>
      <c r="K6" s="78"/>
      <c r="L6" s="77"/>
      <c r="M6" s="78"/>
      <c r="N6" s="79"/>
      <c r="R6" s="70"/>
      <c r="S6" s="71"/>
    </row>
    <row r="7" spans="1:31" ht="24.95" customHeight="1" x14ac:dyDescent="0.2">
      <c r="A7" s="80" t="s">
        <v>0</v>
      </c>
      <c r="B7" s="81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R7" s="70"/>
      <c r="S7" s="71"/>
    </row>
    <row r="8" spans="1:31" ht="24.95" customHeight="1" x14ac:dyDescent="0.2">
      <c r="A8" s="80"/>
      <c r="B8" s="83" t="s">
        <v>228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R8" s="70"/>
      <c r="S8" s="71"/>
    </row>
    <row r="9" spans="1:31" ht="24.95" customHeight="1" x14ac:dyDescent="0.2">
      <c r="A9" s="80"/>
      <c r="B9" s="88" t="s">
        <v>174</v>
      </c>
      <c r="C9" s="83" t="s">
        <v>216</v>
      </c>
      <c r="D9" s="82"/>
      <c r="E9" s="82"/>
      <c r="F9" s="82"/>
      <c r="G9" s="82"/>
      <c r="H9" s="82"/>
      <c r="I9" s="82"/>
      <c r="J9" s="82"/>
      <c r="K9" s="82"/>
      <c r="L9" s="82"/>
      <c r="M9" s="82"/>
      <c r="R9" s="70"/>
      <c r="S9" s="71"/>
    </row>
    <row r="10" spans="1:31" s="84" customFormat="1" ht="15" x14ac:dyDescent="0.2">
      <c r="A10" s="83"/>
      <c r="B10" s="83" t="s">
        <v>196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O10" s="85"/>
      <c r="P10" s="86"/>
      <c r="Q10" s="87"/>
      <c r="S10" s="85"/>
      <c r="W10" s="85"/>
      <c r="AE10" s="87"/>
    </row>
    <row r="11" spans="1:31" s="84" customFormat="1" ht="15" x14ac:dyDescent="0.2">
      <c r="A11" s="83"/>
      <c r="B11" s="88" t="s">
        <v>174</v>
      </c>
      <c r="C11" s="83" t="s">
        <v>178</v>
      </c>
      <c r="D11" s="83"/>
      <c r="E11" s="83"/>
      <c r="F11" s="83"/>
      <c r="G11" s="83"/>
      <c r="H11" s="83"/>
      <c r="I11" s="83"/>
      <c r="J11" s="83"/>
      <c r="K11" s="83"/>
      <c r="L11" s="83"/>
      <c r="M11" s="83"/>
      <c r="O11" s="85"/>
      <c r="P11" s="86"/>
      <c r="Q11" s="87"/>
      <c r="S11" s="85"/>
      <c r="W11" s="85"/>
      <c r="AE11" s="87"/>
    </row>
    <row r="12" spans="1:31" s="84" customFormat="1" ht="15" x14ac:dyDescent="0.2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O12" s="85"/>
      <c r="P12" s="86"/>
      <c r="Q12" s="87"/>
      <c r="S12" s="85"/>
      <c r="W12" s="85"/>
      <c r="AE12" s="87"/>
    </row>
    <row r="13" spans="1:31" s="84" customFormat="1" ht="15" x14ac:dyDescent="0.2">
      <c r="A13" s="83"/>
      <c r="B13" s="83" t="s">
        <v>197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O13" s="85"/>
      <c r="P13" s="86"/>
      <c r="Q13" s="87"/>
      <c r="S13" s="85"/>
      <c r="W13" s="85"/>
      <c r="AE13" s="87"/>
    </row>
    <row r="14" spans="1:31" s="84" customFormat="1" ht="15" x14ac:dyDescent="0.2">
      <c r="A14" s="83"/>
      <c r="B14" s="88" t="s">
        <v>155</v>
      </c>
      <c r="C14" s="83" t="s">
        <v>195</v>
      </c>
      <c r="D14" s="83"/>
      <c r="E14" s="83"/>
      <c r="F14" s="83"/>
      <c r="G14" s="83"/>
      <c r="H14" s="83"/>
      <c r="I14" s="83"/>
      <c r="J14" s="83"/>
      <c r="K14" s="83"/>
      <c r="L14" s="83"/>
      <c r="M14" s="83"/>
      <c r="O14" s="85"/>
      <c r="P14" s="86"/>
      <c r="Q14" s="87"/>
      <c r="S14" s="85"/>
      <c r="W14" s="89"/>
    </row>
    <row r="15" spans="1:31" s="84" customFormat="1" ht="15" x14ac:dyDescent="0.2">
      <c r="A15" s="83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O15" s="85"/>
      <c r="P15" s="86"/>
      <c r="Q15" s="87"/>
      <c r="S15" s="85"/>
      <c r="W15" s="89"/>
    </row>
    <row r="16" spans="1:31" s="84" customFormat="1" ht="15" x14ac:dyDescent="0.2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O16" s="85"/>
      <c r="P16" s="86"/>
      <c r="Q16" s="87"/>
      <c r="S16" s="85"/>
      <c r="W16" s="89"/>
    </row>
    <row r="17" spans="1:58" ht="24.95" customHeight="1" x14ac:dyDescent="0.2">
      <c r="A17" s="90" t="s">
        <v>219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79"/>
      <c r="R17" s="70"/>
      <c r="S17" s="71"/>
    </row>
    <row r="18" spans="1:58" ht="24.95" customHeight="1" thickBot="1" x14ac:dyDescent="0.25">
      <c r="A18" s="92" t="s">
        <v>152</v>
      </c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79"/>
      <c r="R18" s="70"/>
      <c r="S18" s="71"/>
    </row>
    <row r="19" spans="1:58" ht="24.95" customHeight="1" thickTop="1" thickBot="1" x14ac:dyDescent="0.25">
      <c r="A19" s="94"/>
      <c r="B19" s="95"/>
      <c r="C19" s="95"/>
      <c r="D19" s="95"/>
      <c r="E19" s="95"/>
      <c r="F19" s="95"/>
      <c r="G19" s="95"/>
      <c r="H19" s="95"/>
      <c r="I19" s="95"/>
      <c r="J19" s="96"/>
      <c r="K19" s="96"/>
      <c r="L19" s="97"/>
      <c r="M19" s="98"/>
      <c r="O19" s="99" t="s">
        <v>93</v>
      </c>
      <c r="P19" s="100"/>
      <c r="Q19" s="101"/>
      <c r="R19" s="70"/>
      <c r="S19" s="99" t="s">
        <v>172</v>
      </c>
      <c r="T19" s="102"/>
      <c r="U19" s="101"/>
      <c r="W19" s="99" t="s">
        <v>62</v>
      </c>
      <c r="X19" s="102"/>
      <c r="Y19" s="101"/>
      <c r="AA19" s="45" t="s">
        <v>150</v>
      </c>
      <c r="AB19" s="102"/>
      <c r="AC19" s="103"/>
      <c r="AE19" s="70"/>
      <c r="BE19" s="104"/>
      <c r="BF19" s="105"/>
    </row>
    <row r="20" spans="1:58" ht="39.950000000000003" customHeight="1" thickTop="1" thickBot="1" x14ac:dyDescent="0.25">
      <c r="A20" s="4"/>
      <c r="B20" s="5" t="s">
        <v>81</v>
      </c>
      <c r="C20" s="5"/>
      <c r="D20" s="6"/>
      <c r="E20" s="7"/>
      <c r="F20" s="8"/>
      <c r="G20" s="326"/>
      <c r="H20" s="327"/>
      <c r="I20" s="327"/>
      <c r="J20" s="328"/>
      <c r="K20" s="2">
        <v>4096</v>
      </c>
      <c r="L20" s="324" t="str">
        <f>IF(H_PIXELS&lt;&gt;H_PIXELS_RND,"WARNING! - Rounded to Nearest Character Cell","")</f>
        <v/>
      </c>
      <c r="M20" s="325"/>
      <c r="O20" s="106"/>
      <c r="P20" s="107" t="s">
        <v>125</v>
      </c>
      <c r="Q20" s="108">
        <f>ROUNDDOWN(CELL_GRAN,0)</f>
        <v>1</v>
      </c>
      <c r="R20" s="70"/>
      <c r="S20" s="109"/>
      <c r="T20" s="110" t="s">
        <v>177</v>
      </c>
      <c r="U20" s="108">
        <f>K116</f>
        <v>550</v>
      </c>
      <c r="W20" s="109"/>
      <c r="X20" s="104" t="s">
        <v>122</v>
      </c>
      <c r="Y20" s="108">
        <f>K141</f>
        <v>460</v>
      </c>
      <c r="AA20" s="111">
        <v>1</v>
      </c>
      <c r="AB20" s="104" t="str">
        <f>IF(OR(H_PIXELS="",V_LINES="",MARGINS_RQD?="",INT_RQD?="",IP_FREQ_RQD="",RED_BLANK_RQD?="",RED_BLANK_VER="",VIDEO_OPT=""),"ERROR!  Invalid Input Parameters  ","")</f>
        <v/>
      </c>
      <c r="AC20" s="112" t="str">
        <f>IF(OR(H_PIXELS="",V_LINES="",MARGINS_RQD?="",INT_RQD?="",IP_FREQ_RQD="",RED_BLANK_RQD?=""),"Yes","")</f>
        <v/>
      </c>
      <c r="AE20" s="70"/>
      <c r="BE20" s="104"/>
      <c r="BF20" s="105"/>
    </row>
    <row r="21" spans="1:58" ht="39.950000000000003" customHeight="1" thickTop="1" thickBot="1" x14ac:dyDescent="0.25">
      <c r="A21" s="4"/>
      <c r="B21" s="5" t="s">
        <v>226</v>
      </c>
      <c r="C21" s="5"/>
      <c r="D21" s="6"/>
      <c r="E21" s="7"/>
      <c r="F21" s="8"/>
      <c r="G21" s="326"/>
      <c r="H21" s="327"/>
      <c r="I21" s="327"/>
      <c r="J21" s="328"/>
      <c r="K21" s="2">
        <v>2160</v>
      </c>
      <c r="L21" s="324" t="str">
        <f>IF((V_LINES/IF(INT_RQD?="y",2,1))&lt;&gt;V_LINES_RND,"WARNING! - Rounded to Nearest Whole Line","")</f>
        <v/>
      </c>
      <c r="M21" s="325"/>
      <c r="O21" s="106"/>
      <c r="P21" s="107" t="s">
        <v>126</v>
      </c>
      <c r="Q21" s="108">
        <f>$K$97</f>
        <v>1.8</v>
      </c>
      <c r="R21" s="70"/>
      <c r="S21" s="109"/>
      <c r="T21" s="113" t="s">
        <v>121</v>
      </c>
      <c r="U21" s="108">
        <f>K110</f>
        <v>8</v>
      </c>
      <c r="W21" s="109"/>
      <c r="X21" s="105" t="s">
        <v>123</v>
      </c>
      <c r="Y21" s="108">
        <f>K139</f>
        <v>32</v>
      </c>
      <c r="AA21" s="111">
        <v>2</v>
      </c>
      <c r="AB21" s="104" t="str">
        <f>IF(H_PIXELS&lt;&gt;H_PIXELS_RND,"WARNING!  Horizontal Pixel Count Rounded to Nearest Character Cell","")</f>
        <v/>
      </c>
      <c r="AC21" s="112"/>
      <c r="AE21" s="70"/>
      <c r="BE21" s="104"/>
      <c r="BF21" s="105"/>
    </row>
    <row r="22" spans="1:58" ht="39.950000000000003" customHeight="1" thickTop="1" thickBot="1" x14ac:dyDescent="0.25">
      <c r="A22" s="4"/>
      <c r="B22" s="5" t="s">
        <v>82</v>
      </c>
      <c r="C22" s="5"/>
      <c r="D22" s="6"/>
      <c r="E22" s="6"/>
      <c r="F22" s="6"/>
      <c r="G22" s="6"/>
      <c r="H22" s="6"/>
      <c r="I22" s="10"/>
      <c r="J22" s="12"/>
      <c r="K22" s="1" t="s">
        <v>2</v>
      </c>
      <c r="L22" s="324"/>
      <c r="M22" s="325"/>
      <c r="O22" s="114"/>
      <c r="P22" s="115" t="s">
        <v>127</v>
      </c>
      <c r="Q22" s="108">
        <f>ROUNDDOWN(MIN_V_PORCH,0)</f>
        <v>3</v>
      </c>
      <c r="R22" s="70"/>
      <c r="S22" s="116"/>
      <c r="T22" s="117"/>
      <c r="U22" s="118"/>
      <c r="W22" s="109"/>
      <c r="X22" s="104" t="s">
        <v>124</v>
      </c>
      <c r="Y22" s="108">
        <f>K136</f>
        <v>80</v>
      </c>
      <c r="AA22" s="111">
        <v>3</v>
      </c>
      <c r="AB22" s="104" t="str">
        <f>IF(V_LINES&lt;&gt;(V_LINES_RND*IF(INT_RQD?="Y",2,1)),"WARNING!  Vertical Pixel Count Rounded To Nearest Integer  ","")</f>
        <v/>
      </c>
      <c r="AC22" s="112"/>
      <c r="AE22" s="70"/>
      <c r="BE22" s="104"/>
      <c r="BF22" s="105"/>
    </row>
    <row r="23" spans="1:58" ht="39.950000000000003" customHeight="1" thickTop="1" thickBot="1" x14ac:dyDescent="0.25">
      <c r="A23" s="4"/>
      <c r="B23" s="5" t="s">
        <v>83</v>
      </c>
      <c r="C23" s="5"/>
      <c r="D23" s="6"/>
      <c r="E23" s="6"/>
      <c r="F23" s="6"/>
      <c r="G23" s="6"/>
      <c r="H23" s="6"/>
      <c r="I23" s="10" t="s">
        <v>3</v>
      </c>
      <c r="J23" s="12"/>
      <c r="K23" s="1" t="s">
        <v>2</v>
      </c>
      <c r="L23" s="324"/>
      <c r="M23" s="325"/>
      <c r="O23" s="119" t="s">
        <v>64</v>
      </c>
      <c r="P23" s="100"/>
      <c r="Q23" s="101"/>
      <c r="R23" s="70"/>
      <c r="S23" s="120" t="s">
        <v>94</v>
      </c>
      <c r="T23" s="104"/>
      <c r="U23" s="121"/>
      <c r="V23" s="104"/>
      <c r="W23" s="122" t="s">
        <v>94</v>
      </c>
      <c r="X23" s="102"/>
      <c r="Y23" s="101"/>
      <c r="AA23" s="111">
        <v>4</v>
      </c>
      <c r="AB23" s="104" t="str">
        <f>IF(H50&lt;&gt;"","WARNING!  Aspect Ratio Not CVT Standard","")</f>
        <v/>
      </c>
      <c r="AC23" s="112"/>
      <c r="AE23" s="70"/>
      <c r="BE23" s="104"/>
      <c r="BF23" s="105"/>
    </row>
    <row r="24" spans="1:58" ht="39.950000000000003" customHeight="1" thickTop="1" thickBot="1" x14ac:dyDescent="0.25">
      <c r="A24" s="4"/>
      <c r="B24" s="11" t="s">
        <v>84</v>
      </c>
      <c r="C24" s="11"/>
      <c r="D24" s="12"/>
      <c r="E24" s="12"/>
      <c r="F24" s="12"/>
      <c r="G24" s="329" t="str">
        <f>"NOTE: Actual frame rate will be within +/-  "&amp; ROUND(FrameRate_Error,5) &amp;" Hz due to pixel clock rounding to " &amp; CLOCK_STEP &amp; "MHz."</f>
        <v>NOTE: Actual frame rate will be within +/-  0.00003 Hz due to pixel clock rounding to 0.001MHz.</v>
      </c>
      <c r="H24" s="330"/>
      <c r="I24" s="330"/>
      <c r="J24" s="331"/>
      <c r="K24" s="3">
        <v>60</v>
      </c>
      <c r="L24" s="13" t="s">
        <v>11</v>
      </c>
      <c r="M24" s="14"/>
      <c r="O24" s="109">
        <v>1</v>
      </c>
      <c r="P24" s="123" t="s">
        <v>129</v>
      </c>
      <c r="Q24" s="121"/>
      <c r="R24" s="70"/>
      <c r="S24" s="109">
        <f>O44+1</f>
        <v>8</v>
      </c>
      <c r="T24" s="124" t="s">
        <v>139</v>
      </c>
      <c r="U24" s="108"/>
      <c r="V24" s="104"/>
      <c r="W24" s="109">
        <f>O44+1</f>
        <v>8</v>
      </c>
      <c r="X24" s="124" t="s">
        <v>139</v>
      </c>
      <c r="Y24" s="108"/>
      <c r="AA24" s="111">
        <v>5</v>
      </c>
      <c r="AB24" s="104" t="str">
        <f xml:space="preserve"> IF(AND((RED_BLANK_RQD?="y"),(RED_BLANK_VER="y")),"", IF(OR(IP_FREQ_RQD=50,IP_FREQ_RQD=60,IP_FREQ_RQD=75,IP_FREQ_RQD=85),"","WARNING!  Refresh Rate Not a CVT Standard  "))</f>
        <v/>
      </c>
      <c r="AC24" s="112"/>
      <c r="AE24" s="70"/>
      <c r="BE24" s="104"/>
      <c r="BF24" s="105"/>
    </row>
    <row r="25" spans="1:58" ht="39.950000000000003" customHeight="1" thickTop="1" thickBot="1" x14ac:dyDescent="0.25">
      <c r="A25" s="4"/>
      <c r="B25" s="11" t="s">
        <v>198</v>
      </c>
      <c r="C25" s="11"/>
      <c r="D25" s="12"/>
      <c r="E25" s="12"/>
      <c r="F25" s="12"/>
      <c r="G25" s="15"/>
      <c r="H25" s="125"/>
      <c r="I25" s="125"/>
      <c r="J25" s="123"/>
      <c r="K25" s="1" t="s">
        <v>210</v>
      </c>
      <c r="L25" s="324"/>
      <c r="M25" s="325"/>
      <c r="O25" s="126"/>
      <c r="P25" s="127" t="s">
        <v>128</v>
      </c>
      <c r="Q25" s="108">
        <f>(IF(INT_RQD?="y",IP_FREQ_RQD*2,IP_FREQ_RQD))</f>
        <v>60</v>
      </c>
      <c r="R25" s="70"/>
      <c r="S25" s="109"/>
      <c r="T25" s="105" t="s">
        <v>130</v>
      </c>
      <c r="U25" s="108">
        <f>((1/V_FIELD_RATE_RQD)-MIN_VSYNC_BP/1000000)/(V_LINES_RND+(2*TOP_MARGIN)+MIN_V_PORCH_RND+INTERLACE)*1000000</f>
        <v>7.4510710433040535</v>
      </c>
      <c r="W25" s="109"/>
      <c r="X25" s="105" t="s">
        <v>130</v>
      </c>
      <c r="Y25" s="108">
        <f>((1000000/V_FIELD_RATE_RQD)-RB_MIN_V_BLANK)/(V_LINES_RND+TOP_MARGIN+BOT_MARGIN)</f>
        <v>7.5030864197530871</v>
      </c>
      <c r="AA25" s="111">
        <v>6</v>
      </c>
      <c r="AB25" s="104" t="str">
        <f xml:space="preserve"> IF(AND(RED_BLANK_RQD?="Y",RED_BLANK_VER&lt;&gt;"y",IP_FREQ_RQD&lt;&gt;60),"WARNING!  60Hz Refresh Rate Advised For Reduced Blanking","")</f>
        <v/>
      </c>
      <c r="AC25" s="112"/>
      <c r="AE25" s="70"/>
      <c r="BE25" s="104"/>
      <c r="BF25" s="105"/>
    </row>
    <row r="26" spans="1:58" ht="39.950000000000003" customHeight="1" thickTop="1" thickBot="1" x14ac:dyDescent="0.25">
      <c r="A26" s="4"/>
      <c r="B26" s="11" t="s">
        <v>221</v>
      </c>
      <c r="C26" s="11"/>
      <c r="D26" s="12"/>
      <c r="E26" s="12"/>
      <c r="F26" s="12"/>
      <c r="G26" s="15"/>
      <c r="H26" s="125"/>
      <c r="I26" s="125"/>
      <c r="J26" s="316"/>
      <c r="K26" s="1" t="s">
        <v>210</v>
      </c>
      <c r="L26" s="357" t="s">
        <v>223</v>
      </c>
      <c r="M26" s="358"/>
      <c r="O26" s="126"/>
      <c r="P26" s="127"/>
      <c r="Q26" s="108"/>
      <c r="R26" s="70"/>
      <c r="S26" s="109"/>
      <c r="T26" s="104"/>
      <c r="U26" s="121"/>
      <c r="W26" s="109"/>
      <c r="X26" s="104"/>
      <c r="Y26" s="121"/>
      <c r="AA26" s="128"/>
      <c r="AB26" s="104"/>
      <c r="AC26" s="112"/>
      <c r="AE26" s="70"/>
      <c r="BE26" s="104"/>
      <c r="BF26" s="105"/>
    </row>
    <row r="27" spans="1:58" ht="39.950000000000003" customHeight="1" thickTop="1" thickBot="1" x14ac:dyDescent="0.25">
      <c r="A27" s="4"/>
      <c r="B27" s="11" t="s">
        <v>222</v>
      </c>
      <c r="C27" s="11"/>
      <c r="D27" s="12"/>
      <c r="E27" s="12"/>
      <c r="F27" s="12"/>
      <c r="G27" s="15"/>
      <c r="H27" s="125"/>
      <c r="I27" s="125"/>
      <c r="J27" s="316"/>
      <c r="K27" s="1" t="s">
        <v>210</v>
      </c>
      <c r="L27" s="357" t="s">
        <v>224</v>
      </c>
      <c r="M27" s="358"/>
      <c r="O27" s="126">
        <f>O24+1</f>
        <v>2</v>
      </c>
      <c r="P27" s="127" t="s">
        <v>87</v>
      </c>
      <c r="Q27" s="108"/>
      <c r="R27" s="70"/>
      <c r="S27" s="109">
        <f>S24+1</f>
        <v>9</v>
      </c>
      <c r="T27" s="104" t="s">
        <v>140</v>
      </c>
      <c r="U27" s="121"/>
      <c r="W27" s="109">
        <f>W24+1</f>
        <v>9</v>
      </c>
      <c r="X27" s="124" t="s">
        <v>146</v>
      </c>
      <c r="Y27" s="108"/>
      <c r="AA27" s="45" t="s">
        <v>151</v>
      </c>
      <c r="AB27" s="102"/>
      <c r="AC27" s="103"/>
      <c r="AE27" s="70"/>
      <c r="BE27" s="104"/>
      <c r="BF27" s="105"/>
    </row>
    <row r="28" spans="1:58" ht="24.95" customHeight="1" thickTop="1" x14ac:dyDescent="0.2">
      <c r="A28" s="4"/>
      <c r="B28" s="11"/>
      <c r="C28" s="11"/>
      <c r="D28" s="12"/>
      <c r="E28" s="12"/>
      <c r="F28" s="12"/>
      <c r="G28" s="15"/>
      <c r="H28" s="125"/>
      <c r="I28" s="125"/>
      <c r="J28" s="123"/>
      <c r="K28" s="16"/>
      <c r="L28" s="17"/>
      <c r="M28" s="9"/>
      <c r="O28" s="129"/>
      <c r="P28" s="130" t="s">
        <v>110</v>
      </c>
      <c r="Q28" s="131">
        <f>ROUNDDOWN(H_PIXELS/CELL_GRAN_RND,0)*CELL_GRAN_RND</f>
        <v>4096</v>
      </c>
      <c r="R28" s="70"/>
      <c r="S28" s="109"/>
      <c r="T28" s="105" t="s">
        <v>173</v>
      </c>
      <c r="U28" s="132">
        <f>ROUNDDOWN((MIN_VSYNC_BP/H_PERIOD_EST),0)+1</f>
        <v>74</v>
      </c>
      <c r="W28" s="109"/>
      <c r="X28" s="105" t="s">
        <v>120</v>
      </c>
      <c r="Y28" s="108">
        <f>ROUNDDOWN(RB_MIN_V_BLANK/H_PERIOD_EST,0)+1</f>
        <v>62</v>
      </c>
      <c r="AA28" s="334" t="str">
        <f>IF(AB20&lt;&gt;"",AB20 &amp; CHAR(10),"") &amp; IF(AB21&lt;&gt;"",AB21 &amp; CHAR(10),"") &amp; IF(AB22&lt;&gt;"",AB22 &amp; CHAR(10),"") &amp; IF(AB23&lt;&gt;"",AB23 &amp; CHAR(10),"") &amp; IF(AB24&lt;&gt;"",AB24 &amp; CHAR(10),"") &amp; IF(AB25&lt;&gt;"",AB25 &amp; CHAR(10),"")</f>
        <v/>
      </c>
      <c r="AB28" s="335"/>
      <c r="AC28" s="336"/>
      <c r="AE28" s="70"/>
      <c r="BE28" s="104"/>
      <c r="BF28" s="105"/>
    </row>
    <row r="29" spans="1:58" ht="24.95" customHeight="1" x14ac:dyDescent="0.2">
      <c r="A29" s="4"/>
      <c r="B29" s="5"/>
      <c r="C29" s="353" t="s">
        <v>79</v>
      </c>
      <c r="D29" s="341" t="str">
        <f>IF(AA28="","OK",AA28)</f>
        <v>OK</v>
      </c>
      <c r="E29" s="342"/>
      <c r="F29" s="342"/>
      <c r="G29" s="342"/>
      <c r="H29" s="342"/>
      <c r="I29" s="342"/>
      <c r="J29" s="342"/>
      <c r="K29" s="342"/>
      <c r="L29" s="343"/>
      <c r="M29" s="18"/>
      <c r="O29" s="133"/>
      <c r="P29" s="123"/>
      <c r="Q29" s="108"/>
      <c r="R29" s="70"/>
      <c r="S29" s="109"/>
      <c r="T29" s="105" t="s">
        <v>10</v>
      </c>
      <c r="U29" s="121">
        <f>((MIN_VSYNC_BP/H_PERIOD_EST))</f>
        <v>73.303167420814475</v>
      </c>
      <c r="V29" s="105"/>
      <c r="W29" s="109"/>
      <c r="X29" s="104" t="s">
        <v>63</v>
      </c>
      <c r="Y29" s="121">
        <f>RB_MIN_V_BLANK/H_PERIOD_EST</f>
        <v>61.308103661044832</v>
      </c>
      <c r="AA29" s="337"/>
      <c r="AB29" s="335"/>
      <c r="AC29" s="336"/>
      <c r="AE29" s="70"/>
      <c r="BE29" s="104"/>
      <c r="BF29" s="105"/>
    </row>
    <row r="30" spans="1:58" ht="24.95" customHeight="1" thickBot="1" x14ac:dyDescent="0.25">
      <c r="A30" s="4"/>
      <c r="B30" s="5"/>
      <c r="C30" s="354"/>
      <c r="D30" s="344"/>
      <c r="E30" s="345"/>
      <c r="F30" s="345"/>
      <c r="G30" s="345"/>
      <c r="H30" s="345"/>
      <c r="I30" s="345"/>
      <c r="J30" s="345"/>
      <c r="K30" s="345"/>
      <c r="L30" s="346"/>
      <c r="M30" s="18"/>
      <c r="O30" s="133">
        <f>O27+1</f>
        <v>3</v>
      </c>
      <c r="P30" s="123" t="s">
        <v>88</v>
      </c>
      <c r="Q30" s="108"/>
      <c r="R30" s="70"/>
      <c r="S30" s="109"/>
      <c r="T30" s="105" t="s">
        <v>118</v>
      </c>
      <c r="U30" s="121">
        <f>IF(U28&lt;(V_SYNC+MIN_V_BPORCH),V_SYNC+MIN_V_BPORCH,U28)</f>
        <v>74</v>
      </c>
      <c r="W30" s="109"/>
      <c r="X30" s="104"/>
      <c r="Y30" s="121"/>
      <c r="AA30" s="338"/>
      <c r="AB30" s="339"/>
      <c r="AC30" s="340"/>
      <c r="AE30" s="70"/>
      <c r="BE30" s="104"/>
      <c r="BF30" s="105"/>
    </row>
    <row r="31" spans="1:58" ht="24.95" customHeight="1" x14ac:dyDescent="0.2">
      <c r="A31" s="4"/>
      <c r="B31" s="5"/>
      <c r="C31" s="354"/>
      <c r="D31" s="347"/>
      <c r="E31" s="348"/>
      <c r="F31" s="348"/>
      <c r="G31" s="348"/>
      <c r="H31" s="348"/>
      <c r="I31" s="348"/>
      <c r="J31" s="348"/>
      <c r="K31" s="348"/>
      <c r="L31" s="349"/>
      <c r="M31" s="18"/>
      <c r="O31" s="133"/>
      <c r="P31" s="134" t="s">
        <v>111</v>
      </c>
      <c r="Q31" s="131">
        <f>(IF(MARGINS_RQD?="Y",(ROUNDDOWN( (H_PIXELS_RND*MARGIN_PER/100/CELL_GRAN_RND),0))*CELL_GRAN_RND,0))</f>
        <v>0</v>
      </c>
      <c r="R31" s="70"/>
      <c r="S31" s="109"/>
      <c r="T31" s="105"/>
      <c r="U31" s="121"/>
      <c r="V31" s="105"/>
      <c r="W31" s="109">
        <f>W27+1</f>
        <v>10</v>
      </c>
      <c r="X31" s="135" t="s">
        <v>158</v>
      </c>
      <c r="Y31" s="121"/>
      <c r="AA31" s="73"/>
      <c r="AE31" s="70"/>
      <c r="BE31" s="104"/>
      <c r="BF31" s="105"/>
    </row>
    <row r="32" spans="1:58" ht="24.95" customHeight="1" x14ac:dyDescent="0.2">
      <c r="A32" s="4"/>
      <c r="B32" s="5"/>
      <c r="C32" s="354"/>
      <c r="D32" s="347"/>
      <c r="E32" s="348"/>
      <c r="F32" s="348"/>
      <c r="G32" s="348"/>
      <c r="H32" s="348"/>
      <c r="I32" s="348"/>
      <c r="J32" s="348"/>
      <c r="K32" s="348"/>
      <c r="L32" s="349"/>
      <c r="M32" s="18"/>
      <c r="O32" s="133"/>
      <c r="P32" s="134" t="s">
        <v>112</v>
      </c>
      <c r="Q32" s="131">
        <f>(IF(MARGINS_RQD?="Y",(ROUNDDOWN( (H_PIXELS_RND*MARGIN_PER/100/CELL_GRAN_RND),0))*CELL_GRAN_RND,0))</f>
        <v>0</v>
      </c>
      <c r="R32" s="70"/>
      <c r="S32" s="109">
        <f>S27+1</f>
        <v>10</v>
      </c>
      <c r="T32" s="104" t="s">
        <v>141</v>
      </c>
      <c r="U32" s="121"/>
      <c r="V32" s="105"/>
      <c r="W32" s="109"/>
      <c r="X32" s="135" t="s">
        <v>171</v>
      </c>
      <c r="Y32" s="121">
        <f>RB_V_FPORCH+V_SYNC_RND+MIN_V_BPORCH</f>
        <v>15</v>
      </c>
      <c r="AA32" s="73"/>
      <c r="AE32" s="70"/>
      <c r="BE32" s="104"/>
      <c r="BF32" s="105"/>
    </row>
    <row r="33" spans="1:58" ht="24.95" customHeight="1" x14ac:dyDescent="0.2">
      <c r="A33" s="4"/>
      <c r="B33" s="5"/>
      <c r="C33" s="354"/>
      <c r="D33" s="347"/>
      <c r="E33" s="348"/>
      <c r="F33" s="348"/>
      <c r="G33" s="348"/>
      <c r="H33" s="348"/>
      <c r="I33" s="348"/>
      <c r="J33" s="348"/>
      <c r="K33" s="348"/>
      <c r="L33" s="349"/>
      <c r="M33" s="18"/>
      <c r="O33" s="133"/>
      <c r="P33" s="134"/>
      <c r="Q33" s="131"/>
      <c r="R33" s="70"/>
      <c r="S33" s="109"/>
      <c r="T33" s="104" t="s">
        <v>131</v>
      </c>
      <c r="U33" s="131">
        <f>V_SYNC_BP-V_SYNC_RND</f>
        <v>66</v>
      </c>
      <c r="W33" s="109"/>
      <c r="X33" s="135" t="s">
        <v>159</v>
      </c>
      <c r="Y33" s="121">
        <f>IF(VBI_LINES&lt;RB_MIN_VBI,RB_MIN_VBI,VBI_LINES)</f>
        <v>62</v>
      </c>
      <c r="AA33" s="73"/>
      <c r="AE33" s="70"/>
      <c r="BE33" s="104"/>
      <c r="BF33" s="105"/>
    </row>
    <row r="34" spans="1:58" ht="24.95" customHeight="1" x14ac:dyDescent="0.2">
      <c r="A34" s="4"/>
      <c r="B34" s="5"/>
      <c r="C34" s="354"/>
      <c r="D34" s="350"/>
      <c r="E34" s="351"/>
      <c r="F34" s="351"/>
      <c r="G34" s="351"/>
      <c r="H34" s="351"/>
      <c r="I34" s="351"/>
      <c r="J34" s="351"/>
      <c r="K34" s="351"/>
      <c r="L34" s="352"/>
      <c r="M34" s="18"/>
      <c r="O34" s="133">
        <f>O30+1</f>
        <v>4</v>
      </c>
      <c r="P34" s="134" t="s">
        <v>89</v>
      </c>
      <c r="Q34" s="131"/>
      <c r="R34" s="70"/>
      <c r="S34" s="109"/>
      <c r="T34" s="104"/>
      <c r="U34" s="121"/>
      <c r="W34" s="109"/>
      <c r="X34" s="104"/>
      <c r="Y34" s="121"/>
      <c r="AA34" s="73"/>
      <c r="AE34" s="70"/>
      <c r="BE34" s="104"/>
      <c r="BF34" s="105"/>
    </row>
    <row r="35" spans="1:58" ht="24.95" customHeight="1" thickBot="1" x14ac:dyDescent="0.25">
      <c r="A35" s="136"/>
      <c r="B35" s="19"/>
      <c r="C35" s="137"/>
      <c r="D35" s="138"/>
      <c r="E35" s="138"/>
      <c r="F35" s="138"/>
      <c r="G35" s="138"/>
      <c r="H35" s="138"/>
      <c r="I35" s="138"/>
      <c r="J35" s="138"/>
      <c r="K35" s="20"/>
      <c r="L35" s="139"/>
      <c r="M35" s="140"/>
      <c r="O35" s="133"/>
      <c r="P35" s="145" t="s">
        <v>113</v>
      </c>
      <c r="Q35" s="131">
        <f>H_PIXELS_RND+LEFT_MARGIN+RIGHT_MARGIN</f>
        <v>4096</v>
      </c>
      <c r="R35" s="70"/>
      <c r="S35" s="109">
        <f>S32+1</f>
        <v>11</v>
      </c>
      <c r="T35" s="105" t="s">
        <v>142</v>
      </c>
      <c r="U35" s="108"/>
      <c r="W35" s="109">
        <f>W31+1</f>
        <v>11</v>
      </c>
      <c r="X35" s="105" t="s">
        <v>142</v>
      </c>
      <c r="Y35" s="108"/>
      <c r="AA35" s="73"/>
      <c r="AE35" s="70"/>
      <c r="BE35" s="104"/>
      <c r="BF35" s="105"/>
    </row>
    <row r="36" spans="1:58" ht="24.95" customHeight="1" thickTop="1" x14ac:dyDescent="0.2">
      <c r="A36" s="97"/>
      <c r="B36" s="49"/>
      <c r="C36" s="141"/>
      <c r="D36" s="97"/>
      <c r="E36" s="97"/>
      <c r="F36" s="97"/>
      <c r="G36" s="97"/>
      <c r="H36" s="97"/>
      <c r="I36" s="97"/>
      <c r="J36" s="97"/>
      <c r="K36" s="50"/>
      <c r="L36" s="142"/>
      <c r="M36" s="97"/>
      <c r="O36" s="133"/>
      <c r="P36" s="145"/>
      <c r="Q36" s="131"/>
      <c r="R36" s="70"/>
      <c r="S36" s="109"/>
      <c r="T36" s="146" t="s">
        <v>12</v>
      </c>
      <c r="U36" s="132">
        <f>V_LINES_RND+TOP_MARGIN+BOT_MARGIN+V_SYNC_BP+INTERLACE+MIN_V_PORCH_RND</f>
        <v>2237</v>
      </c>
      <c r="W36" s="109"/>
      <c r="X36" s="146" t="s">
        <v>12</v>
      </c>
      <c r="Y36" s="108">
        <f>ACT_VBI_LINES+V_LINES_RND+TOP_MARGIN+BOT_MARGIN+INTERLACE</f>
        <v>2222</v>
      </c>
      <c r="AA36" s="73"/>
      <c r="AE36" s="70"/>
      <c r="BE36" s="104"/>
      <c r="BF36" s="105"/>
    </row>
    <row r="37" spans="1:58" ht="24.95" customHeight="1" x14ac:dyDescent="0.2">
      <c r="A37" s="104"/>
      <c r="B37" s="21"/>
      <c r="C37" s="143"/>
      <c r="D37" s="104"/>
      <c r="E37" s="104"/>
      <c r="F37" s="104"/>
      <c r="G37" s="104"/>
      <c r="H37" s="104"/>
      <c r="I37" s="104"/>
      <c r="J37" s="104"/>
      <c r="K37" s="22"/>
      <c r="L37" s="144"/>
      <c r="M37" s="104"/>
      <c r="O37" s="133">
        <f>O34+1</f>
        <v>5</v>
      </c>
      <c r="P37" s="147" t="s">
        <v>90</v>
      </c>
      <c r="Q37" s="131"/>
      <c r="R37" s="70"/>
      <c r="S37" s="109"/>
      <c r="T37" s="105"/>
      <c r="U37" s="108"/>
      <c r="W37" s="109"/>
      <c r="X37" s="104"/>
      <c r="Y37" s="121"/>
      <c r="AA37" s="73"/>
      <c r="AE37" s="70"/>
      <c r="BE37" s="104"/>
      <c r="BF37" s="105"/>
    </row>
    <row r="38" spans="1:58" ht="24.95" customHeight="1" x14ac:dyDescent="0.2">
      <c r="A38" s="355" t="str">
        <f>"Format: " &amp; F43 &amp;" x " &amp; F44 &amp; " @ " &amp; IP_FREQ_RQD &amp; " Hz" &amp; IF(RED_BLANK_RQD?="Y"," - Reduced Blanking","")</f>
        <v>Format: 4096 x 2160 @ 60 Hz - Reduced Blanking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O38" s="129"/>
      <c r="P38" s="130" t="s">
        <v>114</v>
      </c>
      <c r="Q38" s="131">
        <f>IF(INT_RQD?="y",ROUNDDOWN(V_LINES/2,0),ROUNDDOWN(V_LINES,0))</f>
        <v>2160</v>
      </c>
      <c r="R38" s="70"/>
      <c r="S38" s="109">
        <f>S35+1</f>
        <v>12</v>
      </c>
      <c r="T38" s="104" t="s">
        <v>143</v>
      </c>
      <c r="U38" s="121"/>
      <c r="W38" s="109">
        <f>W35+1</f>
        <v>12</v>
      </c>
      <c r="X38" s="105" t="s">
        <v>145</v>
      </c>
      <c r="Y38" s="108"/>
      <c r="AA38" s="73"/>
      <c r="AE38" s="70"/>
      <c r="BE38" s="104"/>
      <c r="BF38" s="105"/>
    </row>
    <row r="39" spans="1:58" ht="24.95" customHeight="1" x14ac:dyDescent="0.2">
      <c r="A39" s="356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  <c r="O39" s="129"/>
      <c r="P39" s="130"/>
      <c r="Q39" s="131"/>
      <c r="R39" s="70"/>
      <c r="S39" s="109"/>
      <c r="T39" s="105" t="s">
        <v>119</v>
      </c>
      <c r="U39" s="108">
        <f>C_PRIME-(M_PRIME*H_PERIOD_EST/1000)</f>
        <v>27.749074074074073</v>
      </c>
      <c r="W39" s="109"/>
      <c r="X39" s="105" t="s">
        <v>17</v>
      </c>
      <c r="Y39" s="108">
        <f>RB_H_BLANK+TOTAL_ACTIVE_PIXELS</f>
        <v>4176</v>
      </c>
      <c r="AA39" s="73"/>
      <c r="AE39" s="70"/>
      <c r="BE39" s="104"/>
      <c r="BF39" s="105"/>
    </row>
    <row r="40" spans="1:58" ht="24.95" customHeight="1" x14ac:dyDescent="0.2">
      <c r="A40" s="332" t="str">
        <f>"VESA CVT Name: " &amp; IF(D29="OK",TEXT(H_PIXELS_RND*V_LINES_RND/1000000,"0.00") &amp;"M" &amp; IF(ASPECT_RATIO="4:3","3",IF(ASPECT_RATIO="5:4","4",IF(OR(ASPECT_RATIO="15:9",ASPECT_RATIO="16:9"),"9",IF(ASPECT_RATIO="16:10","A","")))) &amp; IF(RED_BLANK_RQD?="Y","-R",""),"NOT CVT STANDARD! - " &amp; TEXT(H_PIXELS_RND*V_LINES_RND/1000000,"0.00") &amp;" Mega Pixel Image")</f>
        <v>VESA CVT Name: 8.85M-R</v>
      </c>
      <c r="B40" s="333"/>
      <c r="C40" s="333"/>
      <c r="D40" s="333"/>
      <c r="E40" s="333"/>
      <c r="F40" s="333"/>
      <c r="G40" s="333"/>
      <c r="H40" s="333"/>
      <c r="I40" s="333"/>
      <c r="J40" s="333"/>
      <c r="K40" s="333"/>
      <c r="L40" s="333"/>
      <c r="M40" s="333"/>
      <c r="O40" s="129">
        <f>O37+1</f>
        <v>6</v>
      </c>
      <c r="P40" s="130" t="s">
        <v>91</v>
      </c>
      <c r="Q40" s="131"/>
      <c r="R40" s="70"/>
      <c r="S40" s="109"/>
      <c r="T40" s="105"/>
      <c r="U40" s="108"/>
      <c r="W40" s="109"/>
      <c r="X40" s="104"/>
      <c r="Y40" s="121"/>
      <c r="AA40" s="73"/>
      <c r="AE40" s="70"/>
      <c r="BE40" s="104"/>
      <c r="BF40" s="105"/>
    </row>
    <row r="41" spans="1:58" ht="24.95" customHeight="1" thickBot="1" x14ac:dyDescent="0.25">
      <c r="A41" s="333"/>
      <c r="B41" s="333"/>
      <c r="C41" s="333"/>
      <c r="D41" s="333"/>
      <c r="E41" s="333"/>
      <c r="F41" s="333"/>
      <c r="G41" s="333"/>
      <c r="H41" s="333"/>
      <c r="I41" s="333"/>
      <c r="J41" s="333"/>
      <c r="K41" s="333"/>
      <c r="L41" s="333"/>
      <c r="M41" s="333"/>
      <c r="O41" s="133"/>
      <c r="P41" s="134" t="s">
        <v>115</v>
      </c>
      <c r="Q41" s="131">
        <f>(IF(MARGINS_RQD?="Y",ROUNDDOWN((MARGIN_PER/100*V_LINES_RND),0),0))</f>
        <v>0</v>
      </c>
      <c r="R41" s="70"/>
      <c r="S41" s="109">
        <f>S38+1</f>
        <v>13</v>
      </c>
      <c r="T41" s="105" t="s">
        <v>144</v>
      </c>
      <c r="U41" s="108"/>
      <c r="W41" s="109">
        <f>W38+1</f>
        <v>13</v>
      </c>
      <c r="X41" s="135" t="s">
        <v>133</v>
      </c>
      <c r="Y41" s="108"/>
      <c r="AA41" s="73"/>
      <c r="AE41" s="70"/>
      <c r="BE41" s="104"/>
      <c r="BF41" s="105"/>
    </row>
    <row r="42" spans="1:58" ht="24.95" customHeight="1" thickTop="1" x14ac:dyDescent="0.2">
      <c r="A42" s="46"/>
      <c r="B42" s="47"/>
      <c r="C42" s="47"/>
      <c r="D42" s="47"/>
      <c r="E42" s="47"/>
      <c r="F42" s="47"/>
      <c r="G42" s="47"/>
      <c r="H42" s="148"/>
      <c r="I42" s="47"/>
      <c r="J42" s="52"/>
      <c r="K42" s="47"/>
      <c r="L42" s="47"/>
      <c r="M42" s="48"/>
      <c r="O42" s="133"/>
      <c r="P42" s="134" t="s">
        <v>116</v>
      </c>
      <c r="Q42" s="131">
        <f>(IF(MARGINS_RQD?="Y",ROUNDDOWN((MARGIN_PER/100*V_LINES_RND),0),0))</f>
        <v>0</v>
      </c>
      <c r="R42" s="70"/>
      <c r="S42" s="109"/>
      <c r="T42" s="105" t="s">
        <v>132</v>
      </c>
      <c r="U42" s="131">
        <f>IF(IDEAL_DUTY_CYCLE&lt;20,(ROUNDDOWN((TOTAL_ACTIVE_PIXELS*20/(100-20)/(2*CELL_GRAN_RND)),0))*(2*CELL_GRAN_RND),(ROUNDDOWN((TOTAL_ACTIVE_PIXELS*IDEAL_DUTY_CYCLE/(100-IDEAL_DUTY_CYCLE)/(2*CELL_GRAN_RND)),0))*(2*CELL_GRAN_RND))</f>
        <v>1572</v>
      </c>
      <c r="W42" s="109"/>
      <c r="X42" s="135" t="str">
        <f>"Rounded down to " &amp; CLOCK_STEP &amp; "MHz ="</f>
        <v>Rounded down to 0.001MHz =</v>
      </c>
      <c r="Y42" s="108">
        <f>CLOCK_STEP*ROUNDDOWN((V_FIELD_RATE_RQD*TOTAL_V_LINES*TOTAL_PIXELS/1000000)/CLOCK_STEP,0)*IF(AND((RED_BLANK_RQD?="y"),(RED_BLANK_VER="y"),(VIDEO_OPT="y")),1000/1001,1)</f>
        <v>556.18781218781226</v>
      </c>
      <c r="AA42" s="73"/>
      <c r="AE42" s="70"/>
      <c r="BE42" s="104"/>
      <c r="BF42" s="105"/>
    </row>
    <row r="43" spans="1:58" ht="24.95" customHeight="1" x14ac:dyDescent="0.2">
      <c r="A43" s="149"/>
      <c r="B43" s="150" t="s">
        <v>4</v>
      </c>
      <c r="C43" s="151"/>
      <c r="D43" s="152"/>
      <c r="E43" s="151"/>
      <c r="F43" s="23">
        <f>H_PIXELS_RND</f>
        <v>4096</v>
      </c>
      <c r="G43" s="25" t="s">
        <v>5</v>
      </c>
      <c r="H43" s="153"/>
      <c r="I43" s="154"/>
      <c r="J43" s="155"/>
      <c r="K43" s="156"/>
      <c r="L43" s="151"/>
      <c r="M43" s="157"/>
      <c r="O43" s="133"/>
      <c r="P43" s="123"/>
      <c r="Q43" s="108"/>
      <c r="R43" s="70"/>
      <c r="S43" s="109"/>
      <c r="T43" s="105"/>
      <c r="U43" s="108"/>
      <c r="W43" s="109"/>
      <c r="X43" s="135" t="s">
        <v>134</v>
      </c>
      <c r="Y43" s="321">
        <f>V_FIELD_RATE_RQD*TOTAL_V_LINES*TOTAL_PIXELS/1000000* IF(AND((RED_BLANK_RQD?="y"),(RED_BLANK_VER="y"),(VIDEO_OPT="y")),1000/1001,1)</f>
        <v>556.1881318681319</v>
      </c>
      <c r="AA43" s="73"/>
      <c r="AE43" s="70"/>
      <c r="BE43" s="104"/>
      <c r="BF43" s="105"/>
    </row>
    <row r="44" spans="1:58" ht="24.95" customHeight="1" x14ac:dyDescent="0.2">
      <c r="A44" s="149"/>
      <c r="B44" s="150" t="s">
        <v>6</v>
      </c>
      <c r="C44" s="151"/>
      <c r="D44" s="151"/>
      <c r="E44" s="24" t="str">
        <f>(IF(INT_RQD?="y","PER FRAME:",""))</f>
        <v/>
      </c>
      <c r="F44" s="23">
        <f>IF(INT_RQD?="y",2*V_LINES_RND,V_LINES_RND)</f>
        <v>2160</v>
      </c>
      <c r="G44" s="25" t="s">
        <v>7</v>
      </c>
      <c r="H44" s="153"/>
      <c r="I44" s="24" t="str">
        <f>(IF(INT_RQD?="y","PER FIELD:",""))</f>
        <v/>
      </c>
      <c r="J44" s="158" t="str">
        <f>(IF(INT_RQD?="y",V_LINES_RND,""))</f>
        <v/>
      </c>
      <c r="K44" s="25" t="str">
        <f>(IF($K$23="y","LINES",""))</f>
        <v/>
      </c>
      <c r="L44" s="151"/>
      <c r="M44" s="157"/>
      <c r="O44" s="133">
        <f>O40+1</f>
        <v>7</v>
      </c>
      <c r="P44" s="160" t="s">
        <v>92</v>
      </c>
      <c r="Q44" s="108"/>
      <c r="R44" s="70"/>
      <c r="S44" s="109">
        <f>S41+1</f>
        <v>14</v>
      </c>
      <c r="T44" s="105" t="s">
        <v>145</v>
      </c>
      <c r="U44" s="108"/>
      <c r="W44" s="109"/>
      <c r="X44" s="104"/>
      <c r="Y44" s="121"/>
      <c r="AA44" s="73"/>
      <c r="AE44" s="70"/>
      <c r="BE44" s="104"/>
      <c r="BF44" s="105"/>
    </row>
    <row r="45" spans="1:58" ht="24.95" customHeight="1" thickBot="1" x14ac:dyDescent="0.25">
      <c r="A45" s="149"/>
      <c r="B45" s="150" t="s">
        <v>8</v>
      </c>
      <c r="C45" s="151"/>
      <c r="D45" s="151"/>
      <c r="E45" s="151"/>
      <c r="F45" s="26">
        <f>ACT_H_FREQ</f>
        <v>133.18673663501252</v>
      </c>
      <c r="G45" s="25" t="s">
        <v>9</v>
      </c>
      <c r="H45" s="159"/>
      <c r="I45" s="154"/>
      <c r="J45" s="155"/>
      <c r="K45" s="156"/>
      <c r="L45" s="154"/>
      <c r="M45" s="157"/>
      <c r="O45" s="114"/>
      <c r="P45" s="161" t="s">
        <v>117</v>
      </c>
      <c r="Q45" s="162">
        <f>(IF(INT_RQD?="y",0.5,0))</f>
        <v>0</v>
      </c>
      <c r="R45" s="70"/>
      <c r="S45" s="109"/>
      <c r="T45" s="105" t="s">
        <v>17</v>
      </c>
      <c r="U45" s="131">
        <f>TOTAL_ACTIVE_PIXELS+H_BLANK</f>
        <v>4176</v>
      </c>
      <c r="W45" s="109">
        <f>W41+1</f>
        <v>14</v>
      </c>
      <c r="X45" s="104" t="s">
        <v>135</v>
      </c>
      <c r="Y45" s="108"/>
      <c r="AA45" s="73"/>
      <c r="AE45" s="70"/>
      <c r="BE45" s="104"/>
      <c r="BF45" s="105"/>
    </row>
    <row r="46" spans="1:58" ht="24.95" customHeight="1" thickBot="1" x14ac:dyDescent="0.25">
      <c r="A46" s="149"/>
      <c r="B46" s="150" t="s">
        <v>59</v>
      </c>
      <c r="C46" s="151"/>
      <c r="D46" s="151"/>
      <c r="E46" s="24" t="str">
        <f>(IF(INT_RQD?="y","FRAME RATE:",""))</f>
        <v/>
      </c>
      <c r="F46" s="26">
        <f>ACT_FRAME_RATE</f>
        <v>59.940025488304464</v>
      </c>
      <c r="G46" s="25" t="s">
        <v>11</v>
      </c>
      <c r="H46" s="53"/>
      <c r="I46" s="24" t="str">
        <f>(IF(INT_RQD?="y","FIELD RATE:",""))</f>
        <v/>
      </c>
      <c r="J46" s="53" t="str">
        <f>(IF(INT_RQD?="y",ACT_FIELD_RATE,""))</f>
        <v/>
      </c>
      <c r="K46" s="154" t="str">
        <f>(IF($K$23="y","Hz",""))</f>
        <v/>
      </c>
      <c r="L46" s="154"/>
      <c r="M46" s="157"/>
      <c r="O46" s="163"/>
      <c r="P46" s="164"/>
      <c r="Q46" s="165"/>
      <c r="R46" s="70"/>
      <c r="S46" s="109"/>
      <c r="T46" s="104"/>
      <c r="U46" s="108"/>
      <c r="W46" s="109"/>
      <c r="X46" s="105" t="s">
        <v>136</v>
      </c>
      <c r="Y46" s="108">
        <f>1000*ACT_PIXEL_FREQ/TOTAL_PIXELS</f>
        <v>133.18673663501252</v>
      </c>
      <c r="AA46" s="73"/>
      <c r="AE46" s="70"/>
      <c r="BE46" s="104"/>
      <c r="BF46" s="105"/>
    </row>
    <row r="47" spans="1:58" ht="24.95" customHeight="1" x14ac:dyDescent="0.2">
      <c r="A47" s="149"/>
      <c r="B47" s="150" t="s">
        <v>13</v>
      </c>
      <c r="C47" s="151"/>
      <c r="D47" s="151"/>
      <c r="E47" s="151"/>
      <c r="F47" s="26">
        <f>ACT_PIXEL_FREQ</f>
        <v>556.18781218781226</v>
      </c>
      <c r="G47" s="25" t="s">
        <v>14</v>
      </c>
      <c r="H47" s="159"/>
      <c r="I47" s="154"/>
      <c r="J47" s="23">
        <v>1</v>
      </c>
      <c r="K47" s="154" t="s">
        <v>5</v>
      </c>
      <c r="L47" s="151"/>
      <c r="M47" s="157"/>
      <c r="O47" s="170" t="s">
        <v>65</v>
      </c>
      <c r="P47" s="100"/>
      <c r="Q47" s="101"/>
      <c r="R47" s="70"/>
      <c r="S47" s="171">
        <f>S44+1</f>
        <v>15</v>
      </c>
      <c r="T47" s="135" t="s">
        <v>133</v>
      </c>
      <c r="U47" s="121"/>
      <c r="W47" s="109"/>
      <c r="X47" s="104"/>
      <c r="Y47" s="121"/>
      <c r="AA47" s="73"/>
      <c r="AE47" s="70"/>
      <c r="BE47" s="104"/>
      <c r="BF47" s="105"/>
    </row>
    <row r="48" spans="1:58" ht="24.95" customHeight="1" x14ac:dyDescent="0.2">
      <c r="A48" s="149"/>
      <c r="B48" s="150" t="s">
        <v>15</v>
      </c>
      <c r="C48" s="151"/>
      <c r="D48" s="151"/>
      <c r="E48" s="151"/>
      <c r="F48" s="26">
        <f>CELL_GRAN_RND*1000/ACT_PIXEL_FREQ</f>
        <v>1.7979538171942577</v>
      </c>
      <c r="G48" s="154" t="s">
        <v>16</v>
      </c>
      <c r="H48" s="159"/>
      <c r="I48" s="154"/>
      <c r="J48" s="23">
        <f>CELL_GRAN_RND</f>
        <v>1</v>
      </c>
      <c r="K48" s="154" t="s">
        <v>5</v>
      </c>
      <c r="L48" s="151"/>
      <c r="M48" s="157"/>
      <c r="O48" s="175"/>
      <c r="P48" s="145"/>
      <c r="Q48" s="176"/>
      <c r="R48" s="70"/>
      <c r="S48" s="109"/>
      <c r="T48" s="135" t="str">
        <f>"Rounded down to " &amp; CLOCK_STEP &amp; "MHz ="</f>
        <v>Rounded down to 0.001MHz =</v>
      </c>
      <c r="U48" s="177">
        <f>CLOCK_STEP*ROUNDDOWN((TOTAL_PIXELS/H_PERIOD_EST)/CLOCK_STEP,0)</f>
        <v>556.57000000000005</v>
      </c>
      <c r="V48" s="105"/>
      <c r="W48" s="109">
        <f>W45+1</f>
        <v>15</v>
      </c>
      <c r="X48" s="135" t="s">
        <v>137</v>
      </c>
      <c r="Y48" s="121"/>
      <c r="AA48" s="73"/>
      <c r="AE48" s="70"/>
      <c r="BE48" s="104"/>
      <c r="BF48" s="105"/>
    </row>
    <row r="49" spans="1:58" ht="24.95" customHeight="1" x14ac:dyDescent="0.2">
      <c r="A49" s="149"/>
      <c r="B49" s="150" t="s">
        <v>18</v>
      </c>
      <c r="C49" s="151"/>
      <c r="D49" s="151"/>
      <c r="E49" s="151"/>
      <c r="F49" s="26" t="str">
        <f>(IF(INT_RQD?="y","INTERLACED", "NON-INT"))</f>
        <v>NON-INT</v>
      </c>
      <c r="G49" s="25"/>
      <c r="H49" s="166"/>
      <c r="I49" s="167"/>
      <c r="J49" s="168"/>
      <c r="K49" s="169"/>
      <c r="L49" s="151"/>
      <c r="M49" s="157"/>
      <c r="O49" s="175" t="s">
        <v>95</v>
      </c>
      <c r="P49" s="145"/>
      <c r="Q49" s="176"/>
      <c r="R49" s="70"/>
      <c r="S49" s="109"/>
      <c r="T49" s="135" t="s">
        <v>134</v>
      </c>
      <c r="U49" s="177">
        <f>TOTAL_PIXELS/H_PERIOD_EST</f>
        <v>556.57095845331139</v>
      </c>
      <c r="V49" s="105"/>
      <c r="W49" s="109"/>
      <c r="X49" s="105" t="s">
        <v>148</v>
      </c>
      <c r="Y49" s="108">
        <f>1000*ACT_H_FREQ/TOTAL_V_LINES</f>
        <v>59.940025488304464</v>
      </c>
      <c r="AA49" s="73"/>
      <c r="AE49" s="70"/>
      <c r="BE49" s="104"/>
      <c r="BF49" s="105"/>
    </row>
    <row r="50" spans="1:58" ht="24.95" customHeight="1" x14ac:dyDescent="0.2">
      <c r="A50" s="149"/>
      <c r="B50" s="150" t="s">
        <v>80</v>
      </c>
      <c r="C50" s="151"/>
      <c r="D50" s="151"/>
      <c r="E50" s="151"/>
      <c r="F50" s="28" t="str">
        <f>IF(AND((RED_BLANK_RQD?="y"),(RED_BLANK_VER="y")),"CVT-RB ver 2", IF(F43=CELL_GRAN_RND*INT((F44*4/3)/CELL_GRAN_RND),"4:3","") &amp; IF(F43=CELL_GRAN_RND*INT((F44*16/9)/CELL_GRAN_RND),"16:9","") &amp; IF(F43=CELL_GRAN_RND*INT((F44*16/10)/CELL_GRAN_RND),"16:10","") &amp; IF(F43=CELL_GRAN_RND*INT((F44*5/4)/CELL_GRAN_RND),"5:4","") &amp; IF(F43=CELL_GRAN_RND*INT((F44*15/9)/CELL_GRAN_RND),"15:9",""))</f>
        <v>CVT-RB ver 2</v>
      </c>
      <c r="G50" s="172"/>
      <c r="H50" s="153" t="str">
        <f>IF(ASPECT_RATIO="","WARNING! - Not Standard Aspect Ratio","")</f>
        <v/>
      </c>
      <c r="I50" s="173"/>
      <c r="J50" s="155"/>
      <c r="K50" s="174"/>
      <c r="L50" s="151"/>
      <c r="M50" s="157"/>
      <c r="O50" s="175"/>
      <c r="P50" s="145" t="s">
        <v>96</v>
      </c>
      <c r="Q50" s="178">
        <f>IF(RED_BLANK_RQD?="Y",Y25,U25)</f>
        <v>7.5030864197530871</v>
      </c>
      <c r="R50" s="70"/>
      <c r="S50" s="109"/>
      <c r="T50" s="104"/>
      <c r="U50" s="121"/>
      <c r="V50" s="105"/>
      <c r="W50" s="109"/>
      <c r="X50" s="104"/>
      <c r="Y50" s="121"/>
      <c r="AE50" s="70"/>
      <c r="BE50" s="104"/>
      <c r="BF50" s="105"/>
    </row>
    <row r="51" spans="1:58" ht="24.95" customHeight="1" x14ac:dyDescent="0.2">
      <c r="A51" s="149"/>
      <c r="B51" s="150" t="s">
        <v>162</v>
      </c>
      <c r="C51" s="151"/>
      <c r="D51" s="151"/>
      <c r="E51" s="151"/>
      <c r="F51" s="28" t="str">
        <f>IF(RED_BLANK_RQD?="y","POSITIVE","NEGATIVE")</f>
        <v>POSITIVE</v>
      </c>
      <c r="G51" s="172"/>
      <c r="H51" s="153"/>
      <c r="I51" s="173"/>
      <c r="J51" s="155"/>
      <c r="K51" s="174"/>
      <c r="L51" s="151"/>
      <c r="M51" s="157"/>
      <c r="O51" s="175"/>
      <c r="P51" s="145"/>
      <c r="Q51" s="176"/>
      <c r="R51" s="70"/>
      <c r="S51" s="109">
        <f>S47+1</f>
        <v>16</v>
      </c>
      <c r="T51" s="104" t="s">
        <v>135</v>
      </c>
      <c r="U51" s="108"/>
      <c r="V51" s="105"/>
      <c r="W51" s="109">
        <f>W48+1</f>
        <v>16</v>
      </c>
      <c r="X51" s="105" t="s">
        <v>138</v>
      </c>
      <c r="Y51" s="108"/>
      <c r="AE51" s="70"/>
      <c r="BE51" s="104"/>
      <c r="BF51" s="105"/>
    </row>
    <row r="52" spans="1:58" ht="24.95" customHeight="1" x14ac:dyDescent="0.2">
      <c r="A52" s="149"/>
      <c r="B52" s="150" t="s">
        <v>163</v>
      </c>
      <c r="C52" s="151"/>
      <c r="D52" s="151"/>
      <c r="E52" s="151"/>
      <c r="F52" s="28" t="str">
        <f>IF(RED_BLANK_RQD?="y","NEGATIVE","POSITIVE")</f>
        <v>NEGATIVE</v>
      </c>
      <c r="G52" s="172"/>
      <c r="H52" s="153"/>
      <c r="I52" s="173"/>
      <c r="J52" s="155"/>
      <c r="K52" s="174"/>
      <c r="L52" s="151"/>
      <c r="M52" s="157"/>
      <c r="O52" s="175" t="s">
        <v>68</v>
      </c>
      <c r="P52" s="145"/>
      <c r="Q52" s="176"/>
      <c r="R52" s="70"/>
      <c r="S52" s="109"/>
      <c r="T52" s="105" t="s">
        <v>136</v>
      </c>
      <c r="U52" s="108">
        <f>1000*ACT_PIXEL_FREQ/TOTAL_PIXELS</f>
        <v>133.18673663501252</v>
      </c>
      <c r="W52" s="109"/>
      <c r="X52" s="105" t="s">
        <v>149</v>
      </c>
      <c r="Y52" s="108">
        <f>(IF(INT_RQD?="y",ACT_FIELD_RATE/2,ACT_FIELD_RATE))</f>
        <v>59.940025488304464</v>
      </c>
      <c r="AE52" s="70"/>
      <c r="BE52" s="104"/>
      <c r="BF52" s="105"/>
    </row>
    <row r="53" spans="1:58" ht="24.95" customHeight="1" thickBot="1" x14ac:dyDescent="0.25">
      <c r="A53" s="149"/>
      <c r="B53" s="179"/>
      <c r="C53" s="180"/>
      <c r="D53" s="180"/>
      <c r="E53" s="180"/>
      <c r="F53" s="29"/>
      <c r="G53" s="181"/>
      <c r="H53" s="182"/>
      <c r="I53" s="183"/>
      <c r="J53" s="182"/>
      <c r="K53" s="183"/>
      <c r="L53" s="180"/>
      <c r="M53" s="184"/>
      <c r="O53" s="175"/>
      <c r="P53" s="123" t="s">
        <v>97</v>
      </c>
      <c r="Q53" s="177">
        <f>IF(RED_BLANK_RQD?="y",Y46,U52)</f>
        <v>133.18673663501252</v>
      </c>
      <c r="R53" s="70"/>
      <c r="S53" s="109"/>
      <c r="T53" s="104"/>
      <c r="U53" s="121"/>
      <c r="W53" s="116"/>
      <c r="X53" s="117"/>
      <c r="Y53" s="190"/>
      <c r="AE53" s="70"/>
      <c r="BE53" s="104"/>
      <c r="BF53" s="105"/>
    </row>
    <row r="54" spans="1:58" ht="24.95" customHeight="1" x14ac:dyDescent="0.2">
      <c r="A54" s="185"/>
      <c r="B54" s="186"/>
      <c r="C54" s="151"/>
      <c r="D54" s="151"/>
      <c r="E54" s="151"/>
      <c r="F54" s="27"/>
      <c r="G54" s="25"/>
      <c r="H54" s="159"/>
      <c r="I54" s="154"/>
      <c r="J54" s="155"/>
      <c r="K54" s="151"/>
      <c r="L54" s="151"/>
      <c r="M54" s="157"/>
      <c r="O54" s="175" t="s">
        <v>67</v>
      </c>
      <c r="P54" s="123"/>
      <c r="Q54" s="177"/>
      <c r="R54" s="70"/>
      <c r="S54" s="109">
        <f>S51+1</f>
        <v>17</v>
      </c>
      <c r="T54" s="135" t="s">
        <v>137</v>
      </c>
      <c r="U54" s="121"/>
      <c r="AE54" s="70"/>
      <c r="BE54" s="104"/>
      <c r="BF54" s="105"/>
    </row>
    <row r="55" spans="1:58" ht="24.95" customHeight="1" x14ac:dyDescent="0.2">
      <c r="A55" s="149"/>
      <c r="B55" s="150" t="s">
        <v>48</v>
      </c>
      <c r="C55" s="151"/>
      <c r="D55" s="151"/>
      <c r="E55" s="151"/>
      <c r="F55" s="27">
        <f>TOTAL_PIXELS/ACT_PIXEL_FREQ</f>
        <v>7.5082551406032207</v>
      </c>
      <c r="G55" s="34" t="s">
        <v>21</v>
      </c>
      <c r="H55" s="23">
        <f>TOTAL_PIXELS/CELL_GRAN_RND</f>
        <v>4176</v>
      </c>
      <c r="I55" s="154" t="s">
        <v>22</v>
      </c>
      <c r="J55" s="187">
        <f>TOTAL_PIXELS</f>
        <v>4176</v>
      </c>
      <c r="K55" s="188" t="s">
        <v>5</v>
      </c>
      <c r="L55" s="189"/>
      <c r="M55" s="157"/>
      <c r="O55" s="175"/>
      <c r="P55" s="123" t="s">
        <v>147</v>
      </c>
      <c r="Q55" s="177">
        <f>IF(RED_BLANK_RQD?="y",Y49,U55)</f>
        <v>59.940025488304464</v>
      </c>
      <c r="R55" s="70"/>
      <c r="S55" s="109"/>
      <c r="T55" s="105" t="s">
        <v>148</v>
      </c>
      <c r="U55" s="108">
        <f>1000*ACT_H_FREQ/TOTAL_V_LINES</f>
        <v>59.940025488304464</v>
      </c>
      <c r="AE55" s="70"/>
      <c r="BE55" s="104"/>
      <c r="BF55" s="105"/>
    </row>
    <row r="56" spans="1:58" ht="24.95" customHeight="1" x14ac:dyDescent="0.2">
      <c r="A56" s="149"/>
      <c r="B56" s="150" t="s">
        <v>49</v>
      </c>
      <c r="C56" s="151"/>
      <c r="D56" s="151"/>
      <c r="E56" s="151"/>
      <c r="F56" s="27">
        <f>H_PIXELS_RND/ACT_PIXEL_FREQ</f>
        <v>7.3644188352276805</v>
      </c>
      <c r="G56" s="34" t="s">
        <v>21</v>
      </c>
      <c r="H56" s="23">
        <f>H_PIXELS_RND/CELL_GRAN_RND</f>
        <v>4096</v>
      </c>
      <c r="I56" s="154" t="s">
        <v>22</v>
      </c>
      <c r="J56" s="187">
        <f>H_PIXELS_RND</f>
        <v>4096</v>
      </c>
      <c r="K56" s="188" t="s">
        <v>5</v>
      </c>
      <c r="L56" s="189"/>
      <c r="M56" s="157"/>
      <c r="O56" s="175"/>
      <c r="P56" s="123" t="s">
        <v>98</v>
      </c>
      <c r="Q56" s="177">
        <f>IF(RED_BLANK_RQD?="y",Y52,U58)</f>
        <v>59.940025488304464</v>
      </c>
      <c r="R56" s="70"/>
      <c r="S56" s="109"/>
      <c r="T56" s="104"/>
      <c r="U56" s="121"/>
      <c r="AE56" s="70"/>
      <c r="BE56" s="104"/>
      <c r="BF56" s="105"/>
    </row>
    <row r="57" spans="1:58" ht="24.95" customHeight="1" x14ac:dyDescent="0.2">
      <c r="A57" s="191"/>
      <c r="B57" s="192"/>
      <c r="C57" s="180"/>
      <c r="D57" s="180"/>
      <c r="E57" s="180"/>
      <c r="F57" s="29"/>
      <c r="G57" s="37"/>
      <c r="H57" s="55"/>
      <c r="I57" s="183"/>
      <c r="J57" s="193"/>
      <c r="K57" s="194"/>
      <c r="L57" s="195"/>
      <c r="M57" s="184"/>
      <c r="O57" s="175" t="s">
        <v>66</v>
      </c>
      <c r="P57" s="123"/>
      <c r="Q57" s="177"/>
      <c r="R57" s="70"/>
      <c r="S57" s="109">
        <f>S54+1</f>
        <v>18</v>
      </c>
      <c r="T57" s="105" t="s">
        <v>138</v>
      </c>
      <c r="U57" s="108"/>
      <c r="X57" s="322" t="s">
        <v>220</v>
      </c>
      <c r="Y57" s="323">
        <f>IF(RED_BLANK_RQD?="y", IF(RED_BLANK_VER="y", IF(VIDEO_OPT="y",(IP_FREQ_RQD*(1000/1001))-Y52,IP_FREQ_RQD-Y52),IP_FREQ_RQD-Y52), ABS(IP_FREQ_RQD-U58))</f>
        <v>3.4451755475117807E-5</v>
      </c>
      <c r="AE57" s="70"/>
      <c r="BE57" s="104"/>
      <c r="BF57" s="105"/>
    </row>
    <row r="58" spans="1:58" ht="24.95" customHeight="1" x14ac:dyDescent="0.2">
      <c r="A58" s="185"/>
      <c r="B58" s="196"/>
      <c r="C58" s="197"/>
      <c r="D58" s="197"/>
      <c r="E58" s="197"/>
      <c r="F58" s="30"/>
      <c r="G58" s="198"/>
      <c r="H58" s="56"/>
      <c r="I58" s="199"/>
      <c r="J58" s="200"/>
      <c r="K58" s="201"/>
      <c r="L58" s="202"/>
      <c r="M58" s="203"/>
      <c r="O58" s="175"/>
      <c r="P58" s="123" t="s">
        <v>99</v>
      </c>
      <c r="Q58" s="177">
        <f>IF(RED_BLANK_RQD?="y",Y42,U48)</f>
        <v>556.18781218781226</v>
      </c>
      <c r="R58" s="70"/>
      <c r="S58" s="109"/>
      <c r="T58" s="105" t="s">
        <v>149</v>
      </c>
      <c r="U58" s="108">
        <f>(IF(INT_RQD?="y",ACT_FIELD_RATE/2,ACT_FIELD_RATE))</f>
        <v>59.940025488304464</v>
      </c>
      <c r="X58" s="204"/>
      <c r="AD58" s="105"/>
      <c r="AE58" s="70"/>
      <c r="BE58" s="104"/>
      <c r="BF58" s="105"/>
    </row>
    <row r="59" spans="1:58" ht="24.95" customHeight="1" thickBot="1" x14ac:dyDescent="0.25">
      <c r="A59" s="149"/>
      <c r="B59" s="150" t="s">
        <v>50</v>
      </c>
      <c r="C59" s="151"/>
      <c r="D59" s="151"/>
      <c r="E59" s="151"/>
      <c r="F59" s="27">
        <f>H_BLANK/ACT_PIXEL_FREQ</f>
        <v>0.14383630537554062</v>
      </c>
      <c r="G59" s="34" t="s">
        <v>21</v>
      </c>
      <c r="H59" s="23">
        <f>H_BLANK/CELL_GRAN_RND</f>
        <v>80</v>
      </c>
      <c r="I59" s="154" t="s">
        <v>22</v>
      </c>
      <c r="J59" s="187">
        <f>H_BLANK</f>
        <v>80</v>
      </c>
      <c r="K59" s="188" t="s">
        <v>5</v>
      </c>
      <c r="L59" s="189"/>
      <c r="M59" s="157"/>
      <c r="O59" s="109"/>
      <c r="P59" s="123"/>
      <c r="Q59" s="205"/>
      <c r="R59" s="70"/>
      <c r="S59" s="116"/>
      <c r="T59" s="117"/>
      <c r="U59" s="190"/>
      <c r="AD59" s="105"/>
      <c r="AE59" s="70"/>
      <c r="BE59" s="104"/>
      <c r="BF59" s="105"/>
    </row>
    <row r="60" spans="1:58" ht="24.95" customHeight="1" x14ac:dyDescent="0.2">
      <c r="A60" s="149"/>
      <c r="B60" s="150" t="s">
        <v>51</v>
      </c>
      <c r="C60" s="151"/>
      <c r="D60" s="151"/>
      <c r="E60" s="151"/>
      <c r="F60" s="27">
        <f>(H_BLANK+LEFT_MARGIN+RIGHT_MARGIN)/ACT_PIXEL_FREQ</f>
        <v>0.14383630537554062</v>
      </c>
      <c r="G60" s="34" t="s">
        <v>21</v>
      </c>
      <c r="H60" s="23">
        <f>(H_BLANK+LEFT_MARGIN+RIGHT_MARGIN)/CELL_GRAN_RND</f>
        <v>80</v>
      </c>
      <c r="I60" s="154" t="s">
        <v>22</v>
      </c>
      <c r="J60" s="187">
        <f>H_BLANK+LEFT_MARGIN+RIGHT_MARGIN</f>
        <v>80</v>
      </c>
      <c r="K60" s="188" t="s">
        <v>5</v>
      </c>
      <c r="L60" s="189"/>
      <c r="M60" s="157"/>
      <c r="O60" s="175" t="s">
        <v>69</v>
      </c>
      <c r="P60" s="123"/>
      <c r="Q60" s="205"/>
      <c r="R60" s="70"/>
      <c r="S60" s="71"/>
      <c r="AE60" s="70"/>
      <c r="BE60" s="104"/>
      <c r="BF60" s="105"/>
    </row>
    <row r="61" spans="1:58" ht="24.75" customHeight="1" x14ac:dyDescent="0.2">
      <c r="A61" s="149"/>
      <c r="B61" s="150" t="s">
        <v>19</v>
      </c>
      <c r="C61" s="151"/>
      <c r="D61" s="151"/>
      <c r="E61" s="151"/>
      <c r="F61" s="27">
        <f>IDEAL_DUTY_CYCLE</f>
        <v>27.749074074074073</v>
      </c>
      <c r="G61" s="34" t="s">
        <v>20</v>
      </c>
      <c r="H61" s="187"/>
      <c r="I61" s="188"/>
      <c r="J61" s="155"/>
      <c r="K61" s="151"/>
      <c r="L61" s="151"/>
      <c r="M61" s="157"/>
      <c r="O61" s="175"/>
      <c r="P61" s="123" t="s">
        <v>100</v>
      </c>
      <c r="Q61" s="205">
        <f>IF(RED_BLANK_RQD?="Y",Y39,U45)</f>
        <v>4176</v>
      </c>
      <c r="R61" s="70"/>
      <c r="S61" s="71"/>
      <c r="V61" s="105"/>
      <c r="AE61" s="70"/>
      <c r="AP61" s="104"/>
      <c r="BE61" s="104"/>
      <c r="BF61" s="105"/>
    </row>
    <row r="62" spans="1:58" ht="24.95" customHeight="1" x14ac:dyDescent="0.2">
      <c r="A62" s="149"/>
      <c r="B62" s="150"/>
      <c r="C62" s="206" t="s">
        <v>57</v>
      </c>
      <c r="D62" s="206"/>
      <c r="E62" s="206"/>
      <c r="F62" s="27"/>
      <c r="G62" s="34"/>
      <c r="H62" s="187"/>
      <c r="I62" s="188"/>
      <c r="J62" s="155"/>
      <c r="K62" s="206"/>
      <c r="L62" s="151"/>
      <c r="M62" s="157"/>
      <c r="O62" s="175" t="s">
        <v>70</v>
      </c>
      <c r="P62" s="123"/>
      <c r="Q62" s="205"/>
      <c r="R62" s="70"/>
      <c r="S62" s="71"/>
      <c r="V62" s="105"/>
      <c r="AE62" s="70"/>
      <c r="AP62" s="104"/>
      <c r="BE62" s="104"/>
      <c r="BF62" s="105"/>
    </row>
    <row r="63" spans="1:58" ht="24.95" customHeight="1" x14ac:dyDescent="0.2">
      <c r="A63" s="149"/>
      <c r="B63" s="150" t="s">
        <v>23</v>
      </c>
      <c r="C63" s="151"/>
      <c r="D63" s="151"/>
      <c r="E63" s="151"/>
      <c r="F63" s="27">
        <f>H_BLANK/TOTAL_PIXELS*100</f>
        <v>1.9157088122605364</v>
      </c>
      <c r="G63" s="34" t="s">
        <v>20</v>
      </c>
      <c r="H63" s="187"/>
      <c r="I63" s="188"/>
      <c r="J63" s="155"/>
      <c r="K63" s="151"/>
      <c r="L63" s="151"/>
      <c r="M63" s="157"/>
      <c r="O63" s="175"/>
      <c r="P63" s="123" t="s">
        <v>101</v>
      </c>
      <c r="Q63" s="205">
        <f>IF(RED_BLANK_RQD?="Y",Y22,U42)</f>
        <v>80</v>
      </c>
      <c r="R63" s="70"/>
      <c r="S63" s="71"/>
      <c r="AE63" s="70"/>
      <c r="AP63" s="104"/>
      <c r="BE63" s="104"/>
      <c r="BF63" s="105"/>
    </row>
    <row r="64" spans="1:58" ht="24.95" customHeight="1" x14ac:dyDescent="0.2">
      <c r="A64" s="149"/>
      <c r="B64" s="150" t="s">
        <v>24</v>
      </c>
      <c r="C64" s="151"/>
      <c r="D64" s="151"/>
      <c r="E64" s="151"/>
      <c r="F64" s="27">
        <f>(H_BLANK+LEFT_MARGIN+RIGHT_MARGIN)/TOTAL_PIXELS*100</f>
        <v>1.9157088122605364</v>
      </c>
      <c r="G64" s="34" t="s">
        <v>20</v>
      </c>
      <c r="H64" s="187"/>
      <c r="I64" s="188"/>
      <c r="J64" s="155"/>
      <c r="K64" s="151"/>
      <c r="L64" s="151"/>
      <c r="M64" s="157"/>
      <c r="O64" s="175" t="s">
        <v>72</v>
      </c>
      <c r="P64" s="123"/>
      <c r="Q64" s="205"/>
      <c r="R64" s="70"/>
      <c r="S64" s="71"/>
      <c r="V64" s="105"/>
      <c r="AE64" s="70"/>
      <c r="AP64" s="104"/>
      <c r="BE64" s="104"/>
      <c r="BF64" s="105"/>
    </row>
    <row r="65" spans="1:58" ht="24.95" customHeight="1" x14ac:dyDescent="0.2">
      <c r="A65" s="149"/>
      <c r="B65" s="150" t="s">
        <v>25</v>
      </c>
      <c r="C65" s="151"/>
      <c r="D65" s="151"/>
      <c r="E65" s="151"/>
      <c r="F65" s="27">
        <f>LEFT_MARGIN/ACT_PIXEL_FREQ</f>
        <v>0</v>
      </c>
      <c r="G65" s="34" t="s">
        <v>21</v>
      </c>
      <c r="H65" s="23">
        <f>LEFT_MARGIN/CELL_GRAN_RND</f>
        <v>0</v>
      </c>
      <c r="I65" s="154" t="s">
        <v>22</v>
      </c>
      <c r="J65" s="187">
        <f>LEFT_MARGIN</f>
        <v>0</v>
      </c>
      <c r="K65" s="188" t="s">
        <v>5</v>
      </c>
      <c r="L65" s="188"/>
      <c r="M65" s="157"/>
      <c r="O65" s="175"/>
      <c r="P65" s="123" t="s">
        <v>102</v>
      </c>
      <c r="Q65" s="205">
        <f>H_BLANK-H_BACK_PORCH-H_SYNC_RND</f>
        <v>8</v>
      </c>
      <c r="R65" s="70"/>
      <c r="S65" s="71"/>
      <c r="AE65" s="70"/>
      <c r="AP65" s="104"/>
      <c r="BE65" s="104"/>
      <c r="BF65" s="105"/>
    </row>
    <row r="66" spans="1:58" ht="24.95" customHeight="1" x14ac:dyDescent="0.2">
      <c r="A66" s="149"/>
      <c r="B66" s="150" t="s">
        <v>26</v>
      </c>
      <c r="C66" s="151"/>
      <c r="D66" s="151"/>
      <c r="E66" s="151"/>
      <c r="F66" s="27">
        <f>H_FRONT_PORCH/ACT_PIXEL_FREQ</f>
        <v>1.4383630537554063E-2</v>
      </c>
      <c r="G66" s="34" t="s">
        <v>21</v>
      </c>
      <c r="H66" s="23">
        <f>H_FRONT_PORCH/CELL_GRAN_RND</f>
        <v>8</v>
      </c>
      <c r="I66" s="154" t="s">
        <v>22</v>
      </c>
      <c r="J66" s="187">
        <f>H_FRONT_PORCH</f>
        <v>8</v>
      </c>
      <c r="K66" s="188" t="s">
        <v>5</v>
      </c>
      <c r="L66" s="188"/>
      <c r="M66" s="157"/>
      <c r="O66" s="175" t="s">
        <v>73</v>
      </c>
      <c r="P66" s="123"/>
      <c r="Q66" s="205"/>
      <c r="R66" s="70"/>
      <c r="S66" s="71"/>
      <c r="V66" s="105"/>
      <c r="AE66" s="70"/>
      <c r="AN66" s="104"/>
      <c r="AO66" s="104"/>
      <c r="AP66" s="104"/>
    </row>
    <row r="67" spans="1:58" ht="24.95" customHeight="1" x14ac:dyDescent="0.2">
      <c r="A67" s="149"/>
      <c r="B67" s="150" t="s">
        <v>52</v>
      </c>
      <c r="C67" s="151"/>
      <c r="D67" s="151"/>
      <c r="E67" s="151"/>
      <c r="F67" s="27">
        <f>H_SYNC_RND/ACT_PIXEL_FREQ</f>
        <v>5.7534522150216254E-2</v>
      </c>
      <c r="G67" s="34" t="s">
        <v>21</v>
      </c>
      <c r="H67" s="23">
        <f>H_SYNC_RND/CELL_GRAN_RND</f>
        <v>32</v>
      </c>
      <c r="I67" s="154" t="s">
        <v>22</v>
      </c>
      <c r="J67" s="187">
        <f>H_SYNC_RND</f>
        <v>32</v>
      </c>
      <c r="K67" s="188" t="s">
        <v>5</v>
      </c>
      <c r="L67" s="188"/>
      <c r="M67" s="157"/>
      <c r="O67" s="175"/>
      <c r="P67" s="123" t="s">
        <v>103</v>
      </c>
      <c r="Q67" s="205">
        <f>IF(RED_BLANK_RQD?="Y",Y21,(ROUNDDOWN((H_SYNC_PER/100*TOTAL_PIXELS/CELL_GRAN_RND),0))*CELL_GRAN_RND)</f>
        <v>32</v>
      </c>
      <c r="R67" s="70"/>
      <c r="S67" s="71"/>
      <c r="V67" s="105"/>
      <c r="AE67" s="70"/>
      <c r="AN67" s="104"/>
      <c r="AO67" s="104"/>
      <c r="AP67" s="104"/>
    </row>
    <row r="68" spans="1:58" ht="24.95" customHeight="1" x14ac:dyDescent="0.2">
      <c r="A68" s="149"/>
      <c r="B68" s="150" t="s">
        <v>27</v>
      </c>
      <c r="C68" s="151"/>
      <c r="D68" s="151"/>
      <c r="E68" s="151"/>
      <c r="F68" s="27">
        <f>H_BACK_PORCH/ACT_PIXEL_FREQ</f>
        <v>7.1918152687770312E-2</v>
      </c>
      <c r="G68" s="34" t="s">
        <v>21</v>
      </c>
      <c r="H68" s="23">
        <f>H_BACK_PORCH/CELL_GRAN_RND</f>
        <v>40</v>
      </c>
      <c r="I68" s="154" t="s">
        <v>22</v>
      </c>
      <c r="J68" s="187">
        <f>H_BACK_PORCH</f>
        <v>40</v>
      </c>
      <c r="K68" s="188" t="s">
        <v>5</v>
      </c>
      <c r="L68" s="188"/>
      <c r="M68" s="157"/>
      <c r="O68" s="175" t="s">
        <v>74</v>
      </c>
      <c r="P68" s="123"/>
      <c r="Q68" s="205"/>
      <c r="R68" s="70"/>
      <c r="S68" s="71"/>
      <c r="V68" s="105"/>
      <c r="AE68" s="70"/>
      <c r="AN68" s="104"/>
      <c r="AO68" s="104"/>
      <c r="AP68" s="104"/>
    </row>
    <row r="69" spans="1:58" ht="24.95" customHeight="1" x14ac:dyDescent="0.2">
      <c r="A69" s="149"/>
      <c r="B69" s="150" t="s">
        <v>28</v>
      </c>
      <c r="C69" s="151"/>
      <c r="D69" s="151"/>
      <c r="E69" s="151"/>
      <c r="F69" s="27">
        <f>RIGHT_MARGIN/ACT_PIXEL_FREQ</f>
        <v>0</v>
      </c>
      <c r="G69" s="34" t="s">
        <v>21</v>
      </c>
      <c r="H69" s="23">
        <f>RIGHT_MARGIN/CELL_GRAN_RND</f>
        <v>0</v>
      </c>
      <c r="I69" s="154" t="s">
        <v>22</v>
      </c>
      <c r="J69" s="187">
        <f>RIGHT_MARGIN</f>
        <v>0</v>
      </c>
      <c r="K69" s="188" t="s">
        <v>5</v>
      </c>
      <c r="L69" s="188"/>
      <c r="M69" s="157"/>
      <c r="O69" s="175"/>
      <c r="P69" s="123" t="s">
        <v>104</v>
      </c>
      <c r="Q69" s="205">
        <f>H_BLANK/2</f>
        <v>40</v>
      </c>
      <c r="R69" s="70"/>
      <c r="S69" s="71"/>
      <c r="T69" s="104"/>
      <c r="U69" s="104"/>
      <c r="V69" s="105"/>
      <c r="AE69" s="70"/>
      <c r="AN69" s="104"/>
      <c r="AO69" s="104"/>
      <c r="AP69" s="104"/>
    </row>
    <row r="70" spans="1:58" ht="24.95" customHeight="1" x14ac:dyDescent="0.2">
      <c r="A70" s="191"/>
      <c r="B70" s="192"/>
      <c r="C70" s="180"/>
      <c r="D70" s="180"/>
      <c r="E70" s="180"/>
      <c r="F70" s="29"/>
      <c r="G70" s="37"/>
      <c r="H70" s="193"/>
      <c r="I70" s="194"/>
      <c r="J70" s="54"/>
      <c r="K70" s="183"/>
      <c r="L70" s="180"/>
      <c r="M70" s="184"/>
      <c r="O70" s="109"/>
      <c r="P70" s="123"/>
      <c r="Q70" s="205"/>
      <c r="R70" s="70"/>
      <c r="S70" s="71"/>
      <c r="T70" s="104"/>
      <c r="U70" s="104"/>
      <c r="AE70" s="70"/>
      <c r="AN70" s="104"/>
      <c r="AO70" s="104"/>
      <c r="AP70" s="104"/>
    </row>
    <row r="71" spans="1:58" ht="24.95" customHeight="1" x14ac:dyDescent="0.2">
      <c r="A71" s="149"/>
      <c r="B71" s="150"/>
      <c r="C71" s="151"/>
      <c r="D71" s="151"/>
      <c r="E71" s="151"/>
      <c r="F71" s="31" t="str">
        <f>(IF(INT_RQD?="y","PER FRAME",""))</f>
        <v/>
      </c>
      <c r="G71" s="207"/>
      <c r="H71" s="32" t="str">
        <f>(IF(INT_RQD?="y","PER FIELD",""))</f>
        <v/>
      </c>
      <c r="I71" s="207"/>
      <c r="J71" s="31" t="str">
        <f>(IF(INT_RQD?="y","PER FRAME",""))</f>
        <v/>
      </c>
      <c r="K71" s="208"/>
      <c r="L71" s="33" t="str">
        <f>(IF(INT_RQD?="y","PER FIELD",""))</f>
        <v/>
      </c>
      <c r="M71" s="209"/>
      <c r="O71" s="175" t="s">
        <v>71</v>
      </c>
      <c r="P71" s="123"/>
      <c r="Q71" s="205"/>
      <c r="R71" s="70"/>
      <c r="S71" s="71"/>
      <c r="T71" s="104"/>
      <c r="U71" s="104"/>
      <c r="AE71" s="70"/>
      <c r="AN71" s="104"/>
      <c r="AO71" s="104"/>
      <c r="AP71" s="104"/>
    </row>
    <row r="72" spans="1:58" ht="24.95" customHeight="1" x14ac:dyDescent="0.2">
      <c r="A72" s="149"/>
      <c r="B72" s="150" t="s">
        <v>53</v>
      </c>
      <c r="C72" s="151"/>
      <c r="D72" s="151"/>
      <c r="E72" s="151"/>
      <c r="F72" s="27">
        <f>IF(INT_RQD?="y",2,1)*TOTAL_V_LINES/ACT_H_FREQ</f>
        <v>16.683342922420355</v>
      </c>
      <c r="G72" s="34" t="s">
        <v>29</v>
      </c>
      <c r="H72" s="43" t="str">
        <f>IF(INT_RQD?="y",TOTAL_V_LINES/ACT_H_FREQ,"")</f>
        <v/>
      </c>
      <c r="I72" s="34" t="str">
        <f>IF(INT_RQD?="y","ms","")</f>
        <v/>
      </c>
      <c r="J72" s="35">
        <f>IF(INT_RQD?="y",2,1)*TOTAL_V_LINES</f>
        <v>2222</v>
      </c>
      <c r="K72" s="210" t="s">
        <v>7</v>
      </c>
      <c r="L72" s="35" t="str">
        <f>IF(INT_RQD?="y",TOTAL_V_LINES,"")</f>
        <v/>
      </c>
      <c r="M72" s="36" t="str">
        <f>(IF(INT_RQD?="y","LINES",""))</f>
        <v/>
      </c>
      <c r="O72" s="175"/>
      <c r="P72" s="123" t="s">
        <v>105</v>
      </c>
      <c r="Q72" s="213">
        <f>IF(RED_BLANK_RQD?="Y",Y36,U36)</f>
        <v>2222</v>
      </c>
      <c r="R72" s="70"/>
      <c r="S72" s="71"/>
      <c r="T72" s="104"/>
      <c r="U72" s="104"/>
      <c r="AE72" s="70"/>
      <c r="AN72" s="104"/>
      <c r="AO72" s="104"/>
      <c r="AP72" s="104"/>
    </row>
    <row r="73" spans="1:58" ht="24.95" customHeight="1" x14ac:dyDescent="0.2">
      <c r="A73" s="149"/>
      <c r="B73" s="150" t="s">
        <v>54</v>
      </c>
      <c r="C73" s="151"/>
      <c r="D73" s="151"/>
      <c r="E73" s="151"/>
      <c r="F73" s="27">
        <f>IF(INT_RQD?="y",2,1)*V_LINES_RND/ACT_H_FREQ</f>
        <v>16.217831103702956</v>
      </c>
      <c r="G73" s="34" t="s">
        <v>29</v>
      </c>
      <c r="H73" s="43" t="str">
        <f>IF(INT_RQD?="y",V_LINES_RND/ACT_H_FREQ,"")</f>
        <v/>
      </c>
      <c r="I73" s="34" t="str">
        <f>IF(INT_RQD?="y","ms","")</f>
        <v/>
      </c>
      <c r="J73" s="35">
        <f>IF(INT_RQD?="y",2*V_LINES_RND,V_LINES_RND)</f>
        <v>2160</v>
      </c>
      <c r="K73" s="210" t="s">
        <v>7</v>
      </c>
      <c r="L73" s="35" t="str">
        <f>IF(INT_RQD?="y",V_LINES_RND,"")</f>
        <v/>
      </c>
      <c r="M73" s="36" t="str">
        <f>(IF(INT_RQD?="y","LINES",""))</f>
        <v/>
      </c>
      <c r="O73" s="175" t="s">
        <v>75</v>
      </c>
      <c r="P73" s="123"/>
      <c r="Q73" s="213"/>
      <c r="R73" s="70"/>
      <c r="S73" s="71"/>
      <c r="T73" s="104"/>
      <c r="U73" s="104"/>
      <c r="V73" s="105"/>
      <c r="AE73" s="70"/>
      <c r="AN73" s="104"/>
      <c r="AO73" s="104"/>
      <c r="AP73" s="104"/>
    </row>
    <row r="74" spans="1:58" ht="24.95" customHeight="1" x14ac:dyDescent="0.2">
      <c r="A74" s="191"/>
      <c r="B74" s="192"/>
      <c r="C74" s="180"/>
      <c r="D74" s="180"/>
      <c r="E74" s="180"/>
      <c r="F74" s="29"/>
      <c r="G74" s="37"/>
      <c r="H74" s="211"/>
      <c r="I74" s="37"/>
      <c r="J74" s="38"/>
      <c r="K74" s="212"/>
      <c r="L74" s="38"/>
      <c r="M74" s="39"/>
      <c r="O74" s="175"/>
      <c r="P74" s="123" t="s">
        <v>106</v>
      </c>
      <c r="Q74" s="205">
        <f>IF(RED_BLANK_RQD?="y",ACT_VBI_LINES,V_SYNC_BP+MIN_V_PORCH_RND)</f>
        <v>62</v>
      </c>
      <c r="R74" s="70"/>
      <c r="S74" s="71"/>
      <c r="T74" s="104"/>
      <c r="U74" s="104"/>
      <c r="V74" s="105"/>
      <c r="W74" s="110"/>
      <c r="AE74" s="70"/>
      <c r="AN74" s="104"/>
      <c r="AO74" s="104"/>
      <c r="AP74" s="104"/>
    </row>
    <row r="75" spans="1:58" ht="24.95" customHeight="1" x14ac:dyDescent="0.2">
      <c r="A75" s="185"/>
      <c r="B75" s="196"/>
      <c r="C75" s="197"/>
      <c r="D75" s="197"/>
      <c r="E75" s="197"/>
      <c r="F75" s="40" t="str">
        <f>(IF(INT_RQD?="y","ODD FIELD",""))</f>
        <v/>
      </c>
      <c r="G75" s="214"/>
      <c r="H75" s="41" t="str">
        <f>(IF(INT_RQD?="y","EVEN FIELD",""))</f>
        <v/>
      </c>
      <c r="I75" s="214"/>
      <c r="J75" s="42" t="str">
        <f>(IF(INT_RQD?="y","ODD FIELD",""))</f>
        <v/>
      </c>
      <c r="K75" s="215"/>
      <c r="L75" s="42" t="str">
        <f>(IF(INT_RQD?="y","EVEN FIELD",""))</f>
        <v/>
      </c>
      <c r="M75" s="216"/>
      <c r="O75" s="175" t="s">
        <v>76</v>
      </c>
      <c r="P75" s="123"/>
      <c r="Q75" s="205"/>
      <c r="R75" s="70"/>
      <c r="S75" s="71"/>
      <c r="T75" s="104"/>
      <c r="U75" s="104"/>
      <c r="V75" s="105"/>
      <c r="W75" s="110"/>
      <c r="AE75" s="70"/>
      <c r="AN75" s="104"/>
      <c r="AO75" s="104"/>
      <c r="AP75" s="104"/>
    </row>
    <row r="76" spans="1:58" ht="24.95" customHeight="1" x14ac:dyDescent="0.2">
      <c r="A76" s="149"/>
      <c r="B76" s="150" t="s">
        <v>55</v>
      </c>
      <c r="C76" s="151"/>
      <c r="D76" s="151"/>
      <c r="E76" s="151"/>
      <c r="F76" s="27">
        <f>V_BLANK/ACT_H_FREQ</f>
        <v>0.46551181871739966</v>
      </c>
      <c r="G76" s="34" t="s">
        <v>29</v>
      </c>
      <c r="H76" s="27" t="str">
        <f>IF(INT_RQD?="y",(V_BLANK+(2*INTERLACE))/ACT_H_FREQ,"")</f>
        <v/>
      </c>
      <c r="I76" s="34" t="str">
        <f>(IF(INT_RQD?="y","ms",""))</f>
        <v/>
      </c>
      <c r="J76" s="35">
        <f>V_BLANK</f>
        <v>62</v>
      </c>
      <c r="K76" s="210" t="s">
        <v>7</v>
      </c>
      <c r="L76" s="35" t="str">
        <f>IF(INT_RQD?="y",V_BLANK+(2*INTERLACE),"")</f>
        <v/>
      </c>
      <c r="M76" s="36" t="str">
        <f t="shared" ref="M76:M81" si="0">(IF(INT_RQD?="y","LINES",""))</f>
        <v/>
      </c>
      <c r="O76" s="175"/>
      <c r="P76" s="123" t="s">
        <v>107</v>
      </c>
      <c r="Q76" s="205">
        <f>IF(RED_BLANK_RQD?="y",IF(RED_BLANK_VER="y", V_BLANK-V_BACK_PORCH-V_SYNC_RND, RB_V_FPORCH), MIN_V_PORCH_RND)</f>
        <v>48</v>
      </c>
      <c r="R76" s="70"/>
      <c r="S76" s="71"/>
      <c r="T76" s="104"/>
      <c r="U76" s="104"/>
      <c r="V76" s="105"/>
      <c r="W76" s="110"/>
      <c r="AE76" s="70"/>
      <c r="AN76" s="104"/>
      <c r="AO76" s="104"/>
      <c r="AP76" s="104"/>
    </row>
    <row r="77" spans="1:58" ht="24.95" customHeight="1" x14ac:dyDescent="0.2">
      <c r="A77" s="149"/>
      <c r="B77" s="150" t="s">
        <v>30</v>
      </c>
      <c r="C77" s="151"/>
      <c r="D77" s="151"/>
      <c r="E77" s="151"/>
      <c r="F77" s="27">
        <f>1000*TOP_MARGIN/ACT_H_FREQ</f>
        <v>0</v>
      </c>
      <c r="G77" s="34" t="s">
        <v>21</v>
      </c>
      <c r="H77" s="43" t="str">
        <f>(IF(INT_RQD?="y",1000*TOP_MARGIN/ACT_H_FREQ,""))</f>
        <v/>
      </c>
      <c r="I77" s="34" t="str">
        <f>(IF(INT_RQD?="y","us",""))</f>
        <v/>
      </c>
      <c r="J77" s="35">
        <f>TOP_MARGIN</f>
        <v>0</v>
      </c>
      <c r="K77" s="210" t="s">
        <v>7</v>
      </c>
      <c r="L77" s="35" t="str">
        <f>(IF(INT_RQD?="y",TOP_MARGIN,""))</f>
        <v/>
      </c>
      <c r="M77" s="36" t="str">
        <f t="shared" si="0"/>
        <v/>
      </c>
      <c r="O77" s="175" t="s">
        <v>77</v>
      </c>
      <c r="P77" s="123"/>
      <c r="Q77" s="205"/>
      <c r="R77" s="70"/>
      <c r="S77" s="71"/>
      <c r="T77" s="104"/>
      <c r="U77" s="104"/>
      <c r="AE77" s="70"/>
      <c r="AN77" s="104"/>
      <c r="AO77" s="104"/>
      <c r="AP77" s="104"/>
    </row>
    <row r="78" spans="1:58" ht="24.95" customHeight="1" x14ac:dyDescent="0.2">
      <c r="A78" s="149"/>
      <c r="B78" s="150" t="s">
        <v>31</v>
      </c>
      <c r="C78" s="151"/>
      <c r="D78" s="151"/>
      <c r="E78" s="151"/>
      <c r="F78" s="27">
        <f>1000*(V_FRONT_PORCH+INTERLACE)/ACT_H_FREQ</f>
        <v>360.39624674895458</v>
      </c>
      <c r="G78" s="34" t="s">
        <v>21</v>
      </c>
      <c r="H78" s="43" t="str">
        <f>IF(INT_RQD?="y",1000*V_FRONT_PORCH/ACT_H_FREQ,"")</f>
        <v/>
      </c>
      <c r="I78" s="34" t="str">
        <f>(IF(INT_RQD?="y","us",""))</f>
        <v/>
      </c>
      <c r="J78" s="35">
        <f>V_FRONT_PORCH+INTERLACE</f>
        <v>48</v>
      </c>
      <c r="K78" s="210" t="s">
        <v>7</v>
      </c>
      <c r="L78" s="35" t="str">
        <f>IF(INT_RQD?="y",V_FRONT_PORCH,"")</f>
        <v/>
      </c>
      <c r="M78" s="36" t="str">
        <f t="shared" si="0"/>
        <v/>
      </c>
      <c r="O78" s="175"/>
      <c r="P78" s="123" t="s">
        <v>108</v>
      </c>
      <c r="Q78" s="205">
        <f>INT(V_SYNC)</f>
        <v>8</v>
      </c>
      <c r="R78" s="70"/>
      <c r="S78" s="71"/>
      <c r="V78" s="104"/>
      <c r="AE78" s="70"/>
      <c r="AN78" s="104"/>
      <c r="AO78" s="104"/>
      <c r="AP78" s="104"/>
    </row>
    <row r="79" spans="1:58" ht="24.95" customHeight="1" x14ac:dyDescent="0.2">
      <c r="A79" s="149"/>
      <c r="B79" s="150" t="s">
        <v>56</v>
      </c>
      <c r="C79" s="151"/>
      <c r="D79" s="151"/>
      <c r="E79" s="151"/>
      <c r="F79" s="27">
        <f>1000*V_SYNC_RND/ACT_H_FREQ</f>
        <v>60.066041124825759</v>
      </c>
      <c r="G79" s="34" t="s">
        <v>21</v>
      </c>
      <c r="H79" s="27" t="str">
        <f>IF(INT_RQD?="y",1000*V_SYNC_RND/ACT_H_FREQ,"")</f>
        <v/>
      </c>
      <c r="I79" s="34" t="str">
        <f>(IF(INT_RQD?="y","us",""))</f>
        <v/>
      </c>
      <c r="J79" s="35">
        <f>V_SYNC_RND</f>
        <v>8</v>
      </c>
      <c r="K79" s="210" t="s">
        <v>7</v>
      </c>
      <c r="L79" s="35" t="str">
        <f>IF(INT_RQD?="y",V_SYNC_RND,"")</f>
        <v/>
      </c>
      <c r="M79" s="36" t="str">
        <f t="shared" si="0"/>
        <v/>
      </c>
      <c r="O79" s="175" t="s">
        <v>78</v>
      </c>
      <c r="P79" s="123"/>
      <c r="Q79" s="205"/>
      <c r="R79" s="70"/>
      <c r="S79" s="71"/>
      <c r="V79" s="104"/>
      <c r="AE79" s="70"/>
      <c r="AN79" s="104"/>
      <c r="AO79" s="104"/>
      <c r="AP79" s="104"/>
    </row>
    <row r="80" spans="1:58" ht="24.95" customHeight="1" x14ac:dyDescent="0.2">
      <c r="A80" s="149"/>
      <c r="B80" s="150" t="s">
        <v>32</v>
      </c>
      <c r="C80" s="151"/>
      <c r="D80" s="151"/>
      <c r="E80" s="151"/>
      <c r="F80" s="27">
        <f>1000*V_BACK_PORCH/ACT_H_FREQ</f>
        <v>45.049530843619323</v>
      </c>
      <c r="G80" s="34" t="s">
        <v>21</v>
      </c>
      <c r="H80" s="43" t="str">
        <f>IF(INT_RQD?="y",1000*(V_BACK_PORCH+INTERLACE)/ACT_H_FREQ,"")</f>
        <v/>
      </c>
      <c r="I80" s="34" t="str">
        <f>(IF(INT_RQD?="y","us",""))</f>
        <v/>
      </c>
      <c r="J80" s="35">
        <f>V_BACK_PORCH</f>
        <v>6</v>
      </c>
      <c r="K80" s="210" t="s">
        <v>7</v>
      </c>
      <c r="L80" s="35" t="str">
        <f>IF(INT_RQD?="y",V_BACK_PORCH+INTERLACE,"")</f>
        <v/>
      </c>
      <c r="M80" s="36" t="str">
        <f t="shared" si="0"/>
        <v/>
      </c>
      <c r="O80" s="175"/>
      <c r="P80" s="123" t="s">
        <v>109</v>
      </c>
      <c r="Q80" s="205">
        <f>IF(AND((RED_BLANK_RQD?="y"),(RED_BLANK_VER="y")),RB_MIN_V_BPORCH,V_BLANK-V_FRONT_PORCH-V_SYNC_RND)</f>
        <v>6</v>
      </c>
      <c r="R80" s="70"/>
      <c r="S80" s="71"/>
      <c r="AE80" s="70"/>
      <c r="AN80" s="104"/>
      <c r="AO80" s="104"/>
      <c r="AP80" s="104"/>
    </row>
    <row r="81" spans="1:42" ht="24.95" customHeight="1" thickBot="1" x14ac:dyDescent="0.25">
      <c r="A81" s="149"/>
      <c r="B81" s="150" t="s">
        <v>33</v>
      </c>
      <c r="C81" s="151"/>
      <c r="D81" s="151"/>
      <c r="E81" s="151"/>
      <c r="F81" s="27">
        <f>1000*BOT_MARGIN/ACT_H_FREQ</f>
        <v>0</v>
      </c>
      <c r="G81" s="34" t="s">
        <v>21</v>
      </c>
      <c r="H81" s="43" t="str">
        <f>(IF(INT_RQD?="y",1000*BOT_MARGIN/ACT_H_FREQ,""))</f>
        <v/>
      </c>
      <c r="I81" s="34" t="str">
        <f>(IF(INT_RQD?="y","us",""))</f>
        <v/>
      </c>
      <c r="J81" s="35">
        <f>BOT_MARGIN</f>
        <v>0</v>
      </c>
      <c r="K81" s="210" t="s">
        <v>7</v>
      </c>
      <c r="L81" s="35" t="str">
        <f>(IF(INT_RQD?="y",BOT_MARGIN,""))</f>
        <v/>
      </c>
      <c r="M81" s="36" t="str">
        <f t="shared" si="0"/>
        <v/>
      </c>
      <c r="O81" s="116"/>
      <c r="P81" s="229"/>
      <c r="Q81" s="190"/>
      <c r="R81" s="70"/>
      <c r="S81" s="71"/>
      <c r="AE81" s="70"/>
      <c r="AN81" s="104"/>
      <c r="AO81" s="104"/>
      <c r="AP81" s="104"/>
    </row>
    <row r="82" spans="1:42" ht="24.95" customHeight="1" thickBot="1" x14ac:dyDescent="0.25">
      <c r="A82" s="136"/>
      <c r="B82" s="217"/>
      <c r="C82" s="218" t="str">
        <f>IF(B53="","","NOTE: ANY RESULT IN RED PARENTHESIS INDICATES AN ERROR: SOLUTION NOT POSSIBLE WITH GIVEN INPUTS REQUIREMENTS")</f>
        <v/>
      </c>
      <c r="D82" s="219"/>
      <c r="E82" s="219"/>
      <c r="F82" s="44"/>
      <c r="G82" s="220"/>
      <c r="H82" s="221"/>
      <c r="I82" s="221"/>
      <c r="J82" s="222"/>
      <c r="K82" s="219"/>
      <c r="L82" s="219"/>
      <c r="M82" s="223"/>
      <c r="R82" s="105"/>
      <c r="S82" s="71"/>
      <c r="AE82" s="70"/>
      <c r="AN82" s="104"/>
      <c r="AO82" s="104"/>
      <c r="AP82" s="104"/>
    </row>
    <row r="83" spans="1:42" ht="24.95" customHeight="1" thickTop="1" x14ac:dyDescent="0.2">
      <c r="A83" s="90"/>
      <c r="B83" s="224"/>
      <c r="C83" s="225"/>
      <c r="D83" s="82"/>
      <c r="E83" s="82"/>
      <c r="F83" s="51"/>
      <c r="G83" s="226"/>
      <c r="H83" s="227"/>
      <c r="I83" s="227"/>
      <c r="J83" s="228"/>
      <c r="K83" s="82"/>
      <c r="L83" s="82"/>
      <c r="M83" s="82"/>
      <c r="R83" s="105"/>
      <c r="S83" s="71"/>
      <c r="V83" s="104"/>
      <c r="AE83" s="70"/>
      <c r="AN83" s="104"/>
      <c r="AO83" s="104"/>
      <c r="AP83" s="104"/>
    </row>
    <row r="84" spans="1:42" ht="24.95" customHeight="1" x14ac:dyDescent="0.2">
      <c r="A84" s="90"/>
      <c r="B84" s="224"/>
      <c r="C84" s="225"/>
      <c r="D84" s="82"/>
      <c r="E84" s="82"/>
      <c r="F84" s="51"/>
      <c r="G84" s="226"/>
      <c r="H84" s="227"/>
      <c r="I84" s="227"/>
      <c r="J84" s="228"/>
      <c r="K84" s="82"/>
      <c r="L84" s="82"/>
      <c r="M84" s="82"/>
      <c r="N84" s="104"/>
      <c r="R84" s="105"/>
      <c r="S84" s="71"/>
      <c r="V84" s="104"/>
      <c r="AE84" s="70"/>
      <c r="AN84" s="104"/>
      <c r="AO84" s="104"/>
      <c r="AP84" s="104"/>
    </row>
    <row r="85" spans="1:42" ht="24.95" customHeight="1" x14ac:dyDescent="0.2">
      <c r="A85" s="90"/>
      <c r="B85" s="224"/>
      <c r="C85" s="225"/>
      <c r="D85" s="82"/>
      <c r="E85" s="82"/>
      <c r="F85" s="51"/>
      <c r="G85" s="226"/>
      <c r="H85" s="227"/>
      <c r="I85" s="227"/>
      <c r="J85" s="228"/>
      <c r="K85" s="82"/>
      <c r="L85" s="82"/>
      <c r="M85" s="82"/>
      <c r="N85" s="105"/>
      <c r="R85" s="105"/>
      <c r="S85" s="71"/>
      <c r="V85" s="104"/>
      <c r="AE85" s="70"/>
      <c r="AN85" s="104"/>
      <c r="AO85" s="104"/>
      <c r="AP85" s="104"/>
    </row>
    <row r="86" spans="1:42" ht="24.95" customHeight="1" x14ac:dyDescent="0.2">
      <c r="A86" s="230"/>
      <c r="B86" s="224"/>
      <c r="C86" s="225"/>
      <c r="D86" s="82"/>
      <c r="E86" s="82"/>
      <c r="F86" s="51"/>
      <c r="G86" s="226"/>
      <c r="H86" s="227"/>
      <c r="I86" s="227"/>
      <c r="J86" s="228"/>
      <c r="K86" s="82"/>
      <c r="L86" s="82"/>
      <c r="M86" s="82"/>
      <c r="N86" s="105"/>
      <c r="R86" s="105"/>
      <c r="S86" s="71"/>
      <c r="V86" s="104"/>
      <c r="W86" s="110"/>
      <c r="X86" s="104"/>
      <c r="AE86" s="70"/>
      <c r="AN86" s="104"/>
      <c r="AO86" s="104"/>
      <c r="AP86" s="104"/>
    </row>
    <row r="87" spans="1:42" ht="24.95" customHeight="1" thickBot="1" x14ac:dyDescent="0.25">
      <c r="A87" s="230"/>
      <c r="N87" s="105"/>
      <c r="R87" s="105"/>
      <c r="S87" s="71"/>
      <c r="V87" s="104"/>
      <c r="W87" s="110"/>
      <c r="X87" s="104"/>
      <c r="AE87" s="70"/>
      <c r="AN87" s="104"/>
      <c r="AO87" s="104"/>
      <c r="AP87" s="104"/>
    </row>
    <row r="88" spans="1:42" ht="24.95" customHeight="1" thickTop="1" x14ac:dyDescent="0.2">
      <c r="A88" s="231"/>
      <c r="B88" s="232"/>
      <c r="C88" s="95"/>
      <c r="D88" s="95"/>
      <c r="E88" s="95"/>
      <c r="F88" s="233"/>
      <c r="G88" s="95"/>
      <c r="H88" s="95"/>
      <c r="I88" s="95"/>
      <c r="J88" s="234"/>
      <c r="K88" s="234"/>
      <c r="L88" s="95"/>
      <c r="M88" s="235"/>
      <c r="N88" s="105"/>
      <c r="R88" s="105"/>
      <c r="S88" s="71"/>
      <c r="V88" s="104"/>
      <c r="W88" s="110"/>
      <c r="X88" s="104"/>
      <c r="AE88" s="70"/>
      <c r="AN88" s="104"/>
      <c r="AO88" s="104"/>
      <c r="AP88" s="104"/>
    </row>
    <row r="89" spans="1:42" ht="24.95" customHeight="1" x14ac:dyDescent="0.2">
      <c r="A89" s="231"/>
      <c r="B89" s="236" t="s">
        <v>34</v>
      </c>
      <c r="C89" s="77"/>
      <c r="D89" s="77"/>
      <c r="E89" s="77"/>
      <c r="F89" s="237"/>
      <c r="G89" s="77"/>
      <c r="H89" s="77"/>
      <c r="I89" s="77"/>
      <c r="J89" s="77"/>
      <c r="K89" s="77"/>
      <c r="L89" s="77"/>
      <c r="M89" s="238"/>
      <c r="N89" s="105"/>
      <c r="R89" s="105"/>
      <c r="S89" s="71"/>
      <c r="V89" s="104"/>
      <c r="W89" s="110"/>
      <c r="X89" s="104"/>
      <c r="AE89" s="70"/>
      <c r="AN89" s="104"/>
      <c r="AO89" s="104"/>
      <c r="AP89" s="104"/>
    </row>
    <row r="90" spans="1:42" ht="24.95" customHeight="1" x14ac:dyDescent="0.2">
      <c r="A90" s="231"/>
      <c r="B90" s="239"/>
      <c r="C90" s="82"/>
      <c r="D90" s="82"/>
      <c r="E90" s="82"/>
      <c r="F90" s="240"/>
      <c r="G90" s="82"/>
      <c r="H90" s="82"/>
      <c r="I90" s="82"/>
      <c r="J90" s="241"/>
      <c r="K90" s="241"/>
      <c r="L90" s="82"/>
      <c r="M90" s="242"/>
      <c r="N90" s="105"/>
      <c r="R90" s="105"/>
      <c r="S90" s="71"/>
      <c r="V90" s="104"/>
      <c r="W90" s="110"/>
      <c r="X90" s="104"/>
      <c r="AE90" s="70"/>
      <c r="AN90" s="104"/>
      <c r="AO90" s="104"/>
      <c r="AP90" s="104"/>
    </row>
    <row r="91" spans="1:42" ht="24.95" customHeight="1" x14ac:dyDescent="0.2">
      <c r="A91" s="231"/>
      <c r="B91" s="243" t="s">
        <v>85</v>
      </c>
      <c r="C91" s="82"/>
      <c r="D91" s="82"/>
      <c r="E91" s="82"/>
      <c r="F91" s="240"/>
      <c r="G91" s="82"/>
      <c r="H91" s="82"/>
      <c r="I91" s="82"/>
      <c r="J91" s="241"/>
      <c r="K91" s="241"/>
      <c r="L91" s="82"/>
      <c r="M91" s="242"/>
      <c r="N91" s="105"/>
      <c r="R91" s="105"/>
      <c r="S91" s="71"/>
      <c r="V91" s="104"/>
      <c r="W91" s="110"/>
      <c r="X91" s="104"/>
      <c r="AE91" s="70"/>
      <c r="AN91" s="104"/>
      <c r="AO91" s="104"/>
      <c r="AP91" s="104"/>
    </row>
    <row r="92" spans="1:42" ht="24.95" customHeight="1" x14ac:dyDescent="0.2">
      <c r="A92" s="231"/>
      <c r="B92" s="244"/>
      <c r="C92" s="231"/>
      <c r="D92" s="231"/>
      <c r="E92" s="231"/>
      <c r="F92" s="231"/>
      <c r="G92" s="231"/>
      <c r="H92" s="231"/>
      <c r="I92" s="231"/>
      <c r="J92" s="245"/>
      <c r="K92" s="246"/>
      <c r="L92" s="246"/>
      <c r="M92" s="242"/>
      <c r="N92" s="105"/>
      <c r="R92" s="105"/>
      <c r="S92" s="71"/>
      <c r="W92" s="110"/>
      <c r="X92" s="104"/>
      <c r="AE92" s="70"/>
      <c r="AN92" s="104"/>
      <c r="AO92" s="104"/>
      <c r="AP92" s="104"/>
    </row>
    <row r="93" spans="1:42" ht="24.95" customHeight="1" x14ac:dyDescent="0.2">
      <c r="A93" s="231"/>
      <c r="B93" s="244"/>
      <c r="C93" s="21" t="s">
        <v>35</v>
      </c>
      <c r="D93" s="82"/>
      <c r="E93" s="82"/>
      <c r="F93" s="82"/>
      <c r="G93" s="82"/>
      <c r="H93" s="82"/>
      <c r="I93" s="82"/>
      <c r="J93" s="241"/>
      <c r="K93" s="246"/>
      <c r="L93" s="246"/>
      <c r="M93" s="242"/>
      <c r="N93" s="105"/>
      <c r="R93" s="105"/>
      <c r="S93" s="71"/>
      <c r="W93" s="110"/>
      <c r="X93" s="104"/>
      <c r="AE93" s="70"/>
      <c r="AN93" s="104"/>
      <c r="AO93" s="104"/>
      <c r="AP93" s="104"/>
    </row>
    <row r="94" spans="1:42" ht="24.95" customHeight="1" x14ac:dyDescent="0.2">
      <c r="A94" s="231"/>
      <c r="B94" s="244"/>
      <c r="C94" s="82" t="s">
        <v>1</v>
      </c>
      <c r="D94" s="82"/>
      <c r="E94" s="82"/>
      <c r="F94" s="82"/>
      <c r="G94" s="82"/>
      <c r="H94" s="82"/>
      <c r="I94" s="82"/>
      <c r="J94" s="241"/>
      <c r="K94" s="241"/>
      <c r="L94" s="82"/>
      <c r="M94" s="242"/>
      <c r="N94" s="105"/>
      <c r="R94" s="105"/>
      <c r="S94" s="71"/>
      <c r="W94" s="110"/>
      <c r="X94" s="104"/>
      <c r="AE94" s="70"/>
      <c r="AN94" s="104"/>
      <c r="AO94" s="104"/>
      <c r="AP94" s="104"/>
    </row>
    <row r="95" spans="1:42" ht="24.95" customHeight="1" x14ac:dyDescent="0.2">
      <c r="A95" s="231"/>
      <c r="B95" s="244"/>
      <c r="C95" s="82"/>
      <c r="D95" s="151" t="s">
        <v>36</v>
      </c>
      <c r="E95" s="151"/>
      <c r="F95" s="151"/>
      <c r="G95" s="82"/>
      <c r="H95" s="82"/>
      <c r="I95" s="82"/>
      <c r="J95" s="241"/>
      <c r="K95" s="241"/>
      <c r="L95" s="82"/>
      <c r="M95" s="242"/>
      <c r="N95" s="105"/>
      <c r="R95" s="105"/>
      <c r="S95" s="71"/>
      <c r="AE95" s="70"/>
      <c r="AN95" s="104"/>
      <c r="AO95" s="104"/>
      <c r="AP95" s="104"/>
    </row>
    <row r="96" spans="1:42" ht="24.95" customHeight="1" thickBot="1" x14ac:dyDescent="0.25">
      <c r="A96" s="231"/>
      <c r="B96" s="244"/>
      <c r="C96" s="82"/>
      <c r="D96" s="151" t="s">
        <v>37</v>
      </c>
      <c r="E96" s="151"/>
      <c r="F96" s="151"/>
      <c r="G96" s="82"/>
      <c r="H96" s="82"/>
      <c r="I96" s="82"/>
      <c r="J96" s="241"/>
      <c r="K96" s="241"/>
      <c r="L96" s="82"/>
      <c r="M96" s="242"/>
      <c r="N96" s="105"/>
      <c r="R96" s="70"/>
      <c r="S96" s="71"/>
      <c r="AE96" s="70"/>
      <c r="AN96" s="104"/>
      <c r="AO96" s="104"/>
      <c r="AP96" s="104"/>
    </row>
    <row r="97" spans="1:42" ht="24.95" customHeight="1" thickTop="1" thickBot="1" x14ac:dyDescent="0.25">
      <c r="A97" s="231"/>
      <c r="B97" s="244"/>
      <c r="C97" s="82"/>
      <c r="D97" s="150" t="s">
        <v>38</v>
      </c>
      <c r="E97" s="247" t="s">
        <v>188</v>
      </c>
      <c r="F97" s="248"/>
      <c r="G97" s="231"/>
      <c r="H97" s="231"/>
      <c r="I97" s="231"/>
      <c r="J97" s="245"/>
      <c r="K97" s="249">
        <v>1.8</v>
      </c>
      <c r="L97" s="250"/>
      <c r="M97" s="242"/>
      <c r="N97" s="105"/>
      <c r="R97" s="70"/>
      <c r="S97" s="71"/>
      <c r="AE97" s="70"/>
      <c r="AN97" s="104"/>
      <c r="AO97" s="104"/>
      <c r="AP97" s="104"/>
    </row>
    <row r="98" spans="1:42" ht="24.95" customHeight="1" thickTop="1" x14ac:dyDescent="0.2">
      <c r="A98" s="231"/>
      <c r="B98" s="244"/>
      <c r="C98" s="82"/>
      <c r="D98" s="150"/>
      <c r="E98" s="247"/>
      <c r="F98" s="248"/>
      <c r="G98" s="231"/>
      <c r="H98" s="231"/>
      <c r="I98" s="231"/>
      <c r="J98" s="245"/>
      <c r="K98" s="251"/>
      <c r="L98" s="250"/>
      <c r="M98" s="242"/>
      <c r="N98" s="105"/>
      <c r="R98" s="70"/>
      <c r="S98" s="71"/>
      <c r="AE98" s="70"/>
      <c r="AN98" s="104"/>
      <c r="AO98" s="104"/>
      <c r="AP98" s="104"/>
    </row>
    <row r="99" spans="1:42" ht="24.95" customHeight="1" x14ac:dyDescent="0.2">
      <c r="A99" s="231"/>
      <c r="B99" s="244"/>
      <c r="C99" s="82"/>
      <c r="D99" s="150"/>
      <c r="E99" s="248"/>
      <c r="F99" s="248"/>
      <c r="G99" s="231"/>
      <c r="H99" s="231"/>
      <c r="I99" s="231"/>
      <c r="J99" s="245"/>
      <c r="K99" s="252"/>
      <c r="L99" s="253"/>
      <c r="M99" s="242"/>
      <c r="N99" s="105"/>
      <c r="R99" s="70"/>
      <c r="S99" s="71"/>
      <c r="AE99" s="70"/>
      <c r="AI99" s="104"/>
      <c r="AJ99" s="104"/>
      <c r="AK99" s="104"/>
    </row>
    <row r="100" spans="1:42" ht="24.95" customHeight="1" thickBot="1" x14ac:dyDescent="0.25">
      <c r="A100" s="231"/>
      <c r="B100" s="244"/>
      <c r="C100" s="21" t="s">
        <v>39</v>
      </c>
      <c r="D100" s="151"/>
      <c r="E100" s="154"/>
      <c r="F100" s="151"/>
      <c r="G100" s="82"/>
      <c r="H100" s="82"/>
      <c r="I100" s="82"/>
      <c r="J100" s="241"/>
      <c r="K100" s="253"/>
      <c r="L100" s="253"/>
      <c r="M100" s="242"/>
      <c r="N100" s="104"/>
      <c r="R100" s="70"/>
      <c r="S100" s="71"/>
      <c r="AE100" s="70"/>
      <c r="AI100" s="104"/>
      <c r="AJ100" s="104"/>
      <c r="AK100" s="104"/>
    </row>
    <row r="101" spans="1:42" ht="24.95" customHeight="1" thickTop="1" thickBot="1" x14ac:dyDescent="0.25">
      <c r="A101" s="231"/>
      <c r="B101" s="244"/>
      <c r="C101" s="82"/>
      <c r="D101" s="150" t="s">
        <v>38</v>
      </c>
      <c r="E101" s="318" t="s">
        <v>203</v>
      </c>
      <c r="F101" s="151"/>
      <c r="G101" s="82"/>
      <c r="H101" s="82"/>
      <c r="I101" s="82"/>
      <c r="J101" s="241"/>
      <c r="K101" s="254">
        <f>IF(RED_BLANK_VER="y",K103,K102)</f>
        <v>1</v>
      </c>
      <c r="L101" s="255"/>
      <c r="M101" s="242"/>
      <c r="N101" s="105"/>
      <c r="R101" s="70"/>
      <c r="S101" s="71"/>
      <c r="AE101" s="70"/>
      <c r="AI101" s="104"/>
      <c r="AJ101" s="104"/>
      <c r="AK101" s="104"/>
    </row>
    <row r="102" spans="1:42" ht="24.95" customHeight="1" thickTop="1" x14ac:dyDescent="0.2">
      <c r="A102" s="231"/>
      <c r="B102" s="244"/>
      <c r="C102" s="82"/>
      <c r="D102" s="150"/>
      <c r="E102" s="318" t="s">
        <v>205</v>
      </c>
      <c r="F102" s="151"/>
      <c r="G102" s="82"/>
      <c r="H102" s="82"/>
      <c r="I102" s="82"/>
      <c r="J102" s="241"/>
      <c r="K102" s="255">
        <v>8</v>
      </c>
      <c r="L102" s="255"/>
      <c r="M102" s="242"/>
      <c r="N102" s="105"/>
      <c r="R102" s="70"/>
      <c r="S102" s="71"/>
      <c r="AE102" s="70"/>
      <c r="AI102" s="104"/>
      <c r="AJ102" s="104"/>
      <c r="AK102" s="104"/>
    </row>
    <row r="103" spans="1:42" ht="24.95" customHeight="1" x14ac:dyDescent="0.2">
      <c r="A103" s="231"/>
      <c r="B103" s="244"/>
      <c r="C103" s="82"/>
      <c r="D103" s="150"/>
      <c r="E103" s="318" t="s">
        <v>204</v>
      </c>
      <c r="F103" s="151"/>
      <c r="G103" s="82"/>
      <c r="H103" s="82"/>
      <c r="I103" s="82"/>
      <c r="J103" s="241"/>
      <c r="K103" s="255">
        <v>1</v>
      </c>
      <c r="L103" s="255"/>
      <c r="M103" s="242"/>
      <c r="N103" s="105"/>
      <c r="R103" s="70"/>
      <c r="S103" s="71"/>
      <c r="AE103" s="70"/>
      <c r="AI103" s="104"/>
      <c r="AJ103" s="104"/>
      <c r="AK103" s="104"/>
    </row>
    <row r="104" spans="1:42" ht="24.95" customHeight="1" x14ac:dyDescent="0.2">
      <c r="A104" s="231"/>
      <c r="B104" s="244"/>
      <c r="C104" s="82"/>
      <c r="D104" s="151"/>
      <c r="E104" s="151"/>
      <c r="F104" s="151"/>
      <c r="G104" s="82"/>
      <c r="H104" s="82"/>
      <c r="I104" s="82"/>
      <c r="J104" s="241"/>
      <c r="K104" s="256"/>
      <c r="L104" s="256"/>
      <c r="M104" s="242"/>
      <c r="N104" s="105"/>
      <c r="R104" s="70"/>
      <c r="S104" s="71"/>
      <c r="AE104" s="70"/>
      <c r="AI104" s="104"/>
      <c r="AJ104" s="104"/>
      <c r="AK104" s="104"/>
    </row>
    <row r="105" spans="1:42" ht="24.95" customHeight="1" x14ac:dyDescent="0.2">
      <c r="A105" s="231"/>
      <c r="B105" s="244"/>
      <c r="C105" s="21" t="s">
        <v>40</v>
      </c>
      <c r="D105" s="151"/>
      <c r="E105" s="151"/>
      <c r="F105" s="151"/>
      <c r="G105" s="82"/>
      <c r="H105" s="82"/>
      <c r="I105" s="82"/>
      <c r="J105" s="241"/>
      <c r="K105" s="256"/>
      <c r="L105" s="256"/>
      <c r="M105" s="242"/>
      <c r="N105" s="105"/>
      <c r="R105" s="70"/>
      <c r="S105" s="71"/>
      <c r="AE105" s="70"/>
      <c r="AI105" s="104"/>
      <c r="AJ105" s="104"/>
      <c r="AK105" s="104"/>
    </row>
    <row r="106" spans="1:42" ht="24.95" customHeight="1" x14ac:dyDescent="0.2">
      <c r="A106" s="231"/>
      <c r="B106" s="244"/>
      <c r="C106" s="82" t="s">
        <v>1</v>
      </c>
      <c r="D106" s="151"/>
      <c r="E106" s="151"/>
      <c r="F106" s="151"/>
      <c r="G106" s="82"/>
      <c r="H106" s="82"/>
      <c r="I106" s="82"/>
      <c r="J106" s="241"/>
      <c r="K106" s="256"/>
      <c r="L106" s="256"/>
      <c r="M106" s="242"/>
      <c r="N106" s="105"/>
      <c r="R106" s="70"/>
      <c r="S106" s="71"/>
      <c r="AE106" s="70"/>
      <c r="AI106" s="104"/>
      <c r="AJ106" s="104"/>
      <c r="AK106" s="104"/>
    </row>
    <row r="107" spans="1:42" ht="24.95" customHeight="1" x14ac:dyDescent="0.2">
      <c r="A107" s="231"/>
      <c r="B107" s="244"/>
      <c r="C107" s="82"/>
      <c r="D107" s="151" t="s">
        <v>41</v>
      </c>
      <c r="E107" s="151"/>
      <c r="F107" s="151"/>
      <c r="G107" s="82"/>
      <c r="H107" s="82"/>
      <c r="I107" s="82"/>
      <c r="J107" s="241"/>
      <c r="K107" s="256"/>
      <c r="L107" s="256"/>
      <c r="M107" s="242"/>
      <c r="N107" s="105"/>
      <c r="R107" s="70"/>
      <c r="S107" s="71"/>
      <c r="AE107" s="70"/>
      <c r="AI107" s="104"/>
      <c r="AJ107" s="104"/>
      <c r="AK107" s="104"/>
    </row>
    <row r="108" spans="1:42" ht="24.95" customHeight="1" thickBot="1" x14ac:dyDescent="0.25">
      <c r="A108" s="231"/>
      <c r="B108" s="244"/>
      <c r="C108" s="82"/>
      <c r="D108" s="151" t="s">
        <v>42</v>
      </c>
      <c r="E108" s="151"/>
      <c r="F108" s="151"/>
      <c r="G108" s="82"/>
      <c r="H108" s="82"/>
      <c r="I108" s="82"/>
      <c r="J108" s="241"/>
      <c r="K108" s="256"/>
      <c r="L108" s="256"/>
      <c r="M108" s="242"/>
      <c r="N108" s="105"/>
      <c r="R108" s="70"/>
      <c r="S108" s="71"/>
      <c r="AE108" s="70"/>
      <c r="AI108" s="104"/>
      <c r="AJ108" s="104"/>
      <c r="AK108" s="104"/>
    </row>
    <row r="109" spans="1:42" ht="24.95" customHeight="1" thickTop="1" thickBot="1" x14ac:dyDescent="0.25">
      <c r="A109" s="231"/>
      <c r="B109" s="244"/>
      <c r="C109" s="82"/>
      <c r="D109" s="150" t="s">
        <v>38</v>
      </c>
      <c r="E109" s="27" t="s">
        <v>186</v>
      </c>
      <c r="F109" s="150"/>
      <c r="G109" s="224"/>
      <c r="H109" s="224"/>
      <c r="I109" s="224"/>
      <c r="J109" s="257"/>
      <c r="K109" s="254">
        <f>IF(ASPECT_RATIO&lt;&gt;"",VLOOKUP(ASPECT_RATIO,VSYNC_WIDTH_TABLE,2,FALSE),VLOOKUP("Custom",VSYNC_WIDTH_TABLE,2,FALSE))</f>
        <v>8</v>
      </c>
      <c r="L109" s="255"/>
      <c r="M109" s="242"/>
      <c r="N109" s="105"/>
      <c r="R109" s="70"/>
      <c r="S109" s="71"/>
      <c r="AE109" s="70"/>
      <c r="AI109" s="104"/>
      <c r="AJ109" s="104"/>
      <c r="AK109" s="104"/>
    </row>
    <row r="110" spans="1:42" ht="24.95" customHeight="1" thickTop="1" thickBot="1" x14ac:dyDescent="0.25">
      <c r="A110" s="231"/>
      <c r="B110" s="244"/>
      <c r="C110" s="82"/>
      <c r="D110" s="27" t="s">
        <v>38</v>
      </c>
      <c r="E110" s="27" t="s">
        <v>187</v>
      </c>
      <c r="F110" s="27"/>
      <c r="G110" s="51"/>
      <c r="H110" s="51"/>
      <c r="I110" s="51"/>
      <c r="J110" s="258"/>
      <c r="K110" s="259">
        <v>8</v>
      </c>
      <c r="L110" s="260"/>
      <c r="M110" s="242"/>
      <c r="N110" s="105"/>
      <c r="R110" s="70"/>
      <c r="S110" s="71"/>
      <c r="AE110" s="70"/>
      <c r="AI110" s="104"/>
      <c r="AJ110" s="104"/>
      <c r="AK110" s="104"/>
    </row>
    <row r="111" spans="1:42" ht="24.95" customHeight="1" thickTop="1" x14ac:dyDescent="0.2">
      <c r="A111" s="231"/>
      <c r="B111" s="244"/>
      <c r="C111" s="82"/>
      <c r="D111" s="151"/>
      <c r="E111" s="151"/>
      <c r="F111" s="151"/>
      <c r="G111" s="82"/>
      <c r="H111" s="82"/>
      <c r="I111" s="82"/>
      <c r="J111" s="241"/>
      <c r="K111" s="253"/>
      <c r="L111" s="253"/>
      <c r="M111" s="242"/>
      <c r="N111" s="105"/>
      <c r="R111" s="70"/>
      <c r="S111" s="71"/>
      <c r="AE111" s="70"/>
      <c r="AI111" s="104"/>
      <c r="AJ111" s="104"/>
      <c r="AK111" s="104"/>
    </row>
    <row r="112" spans="1:42" ht="24.95" customHeight="1" x14ac:dyDescent="0.2">
      <c r="A112" s="231"/>
      <c r="B112" s="244"/>
      <c r="C112" s="82"/>
      <c r="D112" s="151"/>
      <c r="E112" s="151"/>
      <c r="F112" s="151"/>
      <c r="G112" s="82"/>
      <c r="H112" s="82"/>
      <c r="I112" s="82"/>
      <c r="J112" s="241"/>
      <c r="K112" s="253"/>
      <c r="L112" s="253"/>
      <c r="M112" s="242"/>
      <c r="N112" s="105"/>
      <c r="R112" s="70"/>
      <c r="S112" s="71"/>
      <c r="AE112" s="70"/>
      <c r="AI112" s="104"/>
      <c r="AJ112" s="104"/>
      <c r="AK112" s="104"/>
    </row>
    <row r="113" spans="1:37" ht="24.95" customHeight="1" x14ac:dyDescent="0.2">
      <c r="A113" s="231"/>
      <c r="B113" s="244"/>
      <c r="C113" s="21" t="s">
        <v>58</v>
      </c>
      <c r="D113" s="151"/>
      <c r="E113" s="151"/>
      <c r="F113" s="151"/>
      <c r="G113" s="82"/>
      <c r="H113" s="82"/>
      <c r="I113" s="82"/>
      <c r="J113" s="241"/>
      <c r="K113" s="253"/>
      <c r="L113" s="253"/>
      <c r="M113" s="242"/>
      <c r="N113" s="105"/>
      <c r="R113" s="70"/>
      <c r="S113" s="71"/>
      <c r="AE113" s="70"/>
      <c r="AI113" s="104"/>
      <c r="AJ113" s="104"/>
      <c r="AK113" s="104"/>
    </row>
    <row r="114" spans="1:37" ht="24.95" customHeight="1" x14ac:dyDescent="0.2">
      <c r="A114" s="231"/>
      <c r="B114" s="244"/>
      <c r="C114" s="82" t="s">
        <v>1</v>
      </c>
      <c r="D114" s="151"/>
      <c r="E114" s="151"/>
      <c r="F114" s="151"/>
      <c r="G114" s="82"/>
      <c r="H114" s="82"/>
      <c r="I114" s="82"/>
      <c r="J114" s="241"/>
      <c r="K114" s="253"/>
      <c r="L114" s="253"/>
      <c r="M114" s="242"/>
      <c r="N114" s="105"/>
      <c r="R114" s="70"/>
      <c r="S114" s="71"/>
      <c r="AE114" s="70"/>
      <c r="AI114" s="104"/>
      <c r="AJ114" s="104"/>
      <c r="AK114" s="104"/>
    </row>
    <row r="115" spans="1:37" ht="24.95" customHeight="1" thickBot="1" x14ac:dyDescent="0.25">
      <c r="A115" s="231"/>
      <c r="B115" s="244"/>
      <c r="C115" s="82"/>
      <c r="D115" s="151" t="s">
        <v>43</v>
      </c>
      <c r="E115" s="151"/>
      <c r="F115" s="151"/>
      <c r="G115" s="82"/>
      <c r="H115" s="82"/>
      <c r="I115" s="82"/>
      <c r="J115" s="241"/>
      <c r="K115" s="253"/>
      <c r="L115" s="253"/>
      <c r="M115" s="242"/>
      <c r="N115" s="105"/>
      <c r="R115" s="70"/>
      <c r="S115" s="71"/>
      <c r="AE115" s="70"/>
      <c r="AI115" s="104"/>
      <c r="AJ115" s="104"/>
      <c r="AK115" s="104"/>
    </row>
    <row r="116" spans="1:37" ht="24.95" customHeight="1" thickTop="1" thickBot="1" x14ac:dyDescent="0.25">
      <c r="A116" s="231"/>
      <c r="B116" s="244"/>
      <c r="C116" s="82"/>
      <c r="D116" s="150" t="s">
        <v>38</v>
      </c>
      <c r="E116" s="317" t="s">
        <v>201</v>
      </c>
      <c r="F116" s="27"/>
      <c r="G116" s="51"/>
      <c r="H116" s="51"/>
      <c r="I116" s="51"/>
      <c r="J116" s="258"/>
      <c r="K116" s="259">
        <v>550</v>
      </c>
      <c r="L116" s="260"/>
      <c r="M116" s="242"/>
      <c r="N116" s="105"/>
      <c r="R116" s="70"/>
      <c r="S116" s="71"/>
      <c r="AE116" s="70"/>
      <c r="AI116" s="104"/>
      <c r="AJ116" s="104"/>
      <c r="AK116" s="104"/>
    </row>
    <row r="117" spans="1:37" ht="24.75" thickTop="1" thickBot="1" x14ac:dyDescent="0.25">
      <c r="A117" s="231"/>
      <c r="B117" s="244"/>
      <c r="C117" s="82"/>
      <c r="D117" s="231"/>
      <c r="E117" s="231"/>
      <c r="F117" s="231"/>
      <c r="G117" s="231"/>
      <c r="H117" s="231"/>
      <c r="I117" s="318"/>
      <c r="J117" s="231"/>
      <c r="K117" s="261"/>
      <c r="L117" s="262"/>
      <c r="M117" s="242"/>
      <c r="N117" s="105"/>
      <c r="R117" s="70"/>
      <c r="S117" s="71"/>
      <c r="AE117" s="70"/>
      <c r="AI117" s="104"/>
      <c r="AJ117" s="104"/>
      <c r="AK117" s="104"/>
    </row>
    <row r="118" spans="1:37" ht="24.75" thickTop="1" thickBot="1" x14ac:dyDescent="0.25">
      <c r="A118" s="231"/>
      <c r="B118" s="244"/>
      <c r="C118" s="82"/>
      <c r="D118" s="150" t="s">
        <v>38</v>
      </c>
      <c r="E118" s="27" t="s">
        <v>176</v>
      </c>
      <c r="F118" s="231"/>
      <c r="G118" s="231"/>
      <c r="H118" s="231"/>
      <c r="I118" s="247"/>
      <c r="J118" s="231"/>
      <c r="K118" s="263">
        <v>6</v>
      </c>
      <c r="L118" s="262"/>
      <c r="M118" s="242"/>
      <c r="N118" s="105"/>
      <c r="R118" s="70"/>
      <c r="S118" s="71"/>
      <c r="AE118" s="70"/>
      <c r="AI118" s="104"/>
      <c r="AJ118" s="104"/>
      <c r="AK118" s="104"/>
    </row>
    <row r="119" spans="1:37" ht="24.75" thickTop="1" thickBot="1" x14ac:dyDescent="0.25">
      <c r="A119" s="231"/>
      <c r="B119" s="244"/>
      <c r="C119" s="82"/>
      <c r="D119" s="150" t="s">
        <v>38</v>
      </c>
      <c r="E119" s="27" t="s">
        <v>179</v>
      </c>
      <c r="F119" s="151"/>
      <c r="G119" s="82"/>
      <c r="H119" s="82"/>
      <c r="I119" s="82"/>
      <c r="J119" s="241"/>
      <c r="K119" s="254">
        <v>3</v>
      </c>
      <c r="L119" s="262"/>
      <c r="M119" s="242"/>
      <c r="N119" s="105"/>
      <c r="O119" s="110"/>
      <c r="P119" s="265"/>
      <c r="Q119" s="204"/>
      <c r="R119" s="70"/>
      <c r="S119" s="71"/>
      <c r="AE119" s="70"/>
      <c r="AI119" s="104"/>
      <c r="AJ119" s="104"/>
      <c r="AK119" s="104"/>
    </row>
    <row r="120" spans="1:37" ht="24.95" customHeight="1" thickTop="1" x14ac:dyDescent="0.2">
      <c r="A120" s="231"/>
      <c r="B120" s="244"/>
      <c r="C120" s="82"/>
      <c r="D120" s="82"/>
      <c r="E120" s="82"/>
      <c r="F120" s="82"/>
      <c r="G120" s="82"/>
      <c r="H120" s="82"/>
      <c r="I120" s="82"/>
      <c r="J120" s="241"/>
      <c r="K120" s="241"/>
      <c r="L120" s="241"/>
      <c r="M120" s="242"/>
      <c r="O120" s="110"/>
      <c r="P120" s="265"/>
      <c r="Q120" s="204"/>
      <c r="R120" s="70"/>
      <c r="S120" s="71"/>
      <c r="AE120" s="70"/>
      <c r="AI120" s="104"/>
      <c r="AJ120" s="104"/>
      <c r="AK120" s="104"/>
    </row>
    <row r="121" spans="1:37" ht="24.95" customHeight="1" x14ac:dyDescent="0.2">
      <c r="A121" s="231"/>
      <c r="B121" s="244"/>
      <c r="C121" s="264" t="s">
        <v>44</v>
      </c>
      <c r="D121" s="82"/>
      <c r="E121" s="82"/>
      <c r="F121" s="82"/>
      <c r="G121" s="82"/>
      <c r="H121" s="82"/>
      <c r="I121" s="82"/>
      <c r="J121" s="241"/>
      <c r="K121" s="241"/>
      <c r="L121" s="241"/>
      <c r="M121" s="242"/>
      <c r="O121" s="110"/>
      <c r="P121" s="265"/>
      <c r="Q121" s="204"/>
      <c r="R121" s="70"/>
      <c r="S121" s="71"/>
      <c r="AE121" s="70"/>
      <c r="AI121" s="104"/>
      <c r="AJ121" s="104"/>
      <c r="AK121" s="104"/>
    </row>
    <row r="122" spans="1:37" ht="24.95" customHeight="1" x14ac:dyDescent="0.2">
      <c r="A122" s="231"/>
      <c r="B122" s="244"/>
      <c r="C122" s="82" t="s">
        <v>1</v>
      </c>
      <c r="D122" s="82"/>
      <c r="E122" s="82"/>
      <c r="F122" s="82"/>
      <c r="G122" s="82"/>
      <c r="H122" s="82"/>
      <c r="I122" s="82"/>
      <c r="J122" s="241"/>
      <c r="K122" s="241"/>
      <c r="L122" s="241"/>
      <c r="M122" s="242"/>
      <c r="O122" s="110"/>
      <c r="P122" s="265"/>
      <c r="Q122" s="204"/>
      <c r="R122" s="70"/>
      <c r="S122" s="71"/>
      <c r="AE122" s="70"/>
      <c r="AI122" s="104"/>
      <c r="AJ122" s="104"/>
      <c r="AK122" s="104"/>
    </row>
    <row r="123" spans="1:37" ht="24.95" customHeight="1" x14ac:dyDescent="0.2">
      <c r="A123" s="231"/>
      <c r="B123" s="244"/>
      <c r="C123" s="82"/>
      <c r="D123" s="151" t="s">
        <v>45</v>
      </c>
      <c r="E123" s="151"/>
      <c r="F123" s="151"/>
      <c r="G123" s="151"/>
      <c r="H123" s="151"/>
      <c r="I123" s="151"/>
      <c r="J123" s="266"/>
      <c r="K123" s="266"/>
      <c r="L123" s="266"/>
      <c r="M123" s="242"/>
      <c r="O123" s="110"/>
      <c r="P123" s="265"/>
      <c r="Q123" s="204"/>
      <c r="R123" s="70"/>
      <c r="S123" s="71"/>
      <c r="AE123" s="70"/>
      <c r="AI123" s="104"/>
      <c r="AJ123" s="105"/>
      <c r="AK123" s="104"/>
    </row>
    <row r="124" spans="1:37" ht="24.95" customHeight="1" x14ac:dyDescent="0.2">
      <c r="A124" s="231"/>
      <c r="B124" s="244"/>
      <c r="C124" s="82"/>
      <c r="D124" s="151" t="s">
        <v>46</v>
      </c>
      <c r="E124" s="151"/>
      <c r="F124" s="151"/>
      <c r="G124" s="151"/>
      <c r="H124" s="151"/>
      <c r="I124" s="151"/>
      <c r="J124" s="267"/>
      <c r="K124" s="267"/>
      <c r="L124" s="267"/>
      <c r="M124" s="242"/>
      <c r="O124" s="110"/>
      <c r="P124" s="265"/>
      <c r="Q124" s="204"/>
      <c r="R124" s="70"/>
      <c r="S124" s="71"/>
      <c r="AE124" s="70"/>
      <c r="AI124" s="104"/>
      <c r="AJ124" s="105"/>
      <c r="AK124" s="104"/>
    </row>
    <row r="125" spans="1:37" ht="24.95" customHeight="1" thickBot="1" x14ac:dyDescent="0.25">
      <c r="A125" s="231"/>
      <c r="B125" s="244"/>
      <c r="C125" s="82"/>
      <c r="D125" s="268" t="s">
        <v>47</v>
      </c>
      <c r="E125" s="151"/>
      <c r="F125" s="151"/>
      <c r="G125" s="151"/>
      <c r="H125" s="151"/>
      <c r="I125" s="151"/>
      <c r="J125" s="266"/>
      <c r="K125" s="267"/>
      <c r="L125" s="267"/>
      <c r="M125" s="242"/>
      <c r="O125" s="110"/>
      <c r="P125" s="265"/>
      <c r="Q125" s="204"/>
      <c r="R125" s="70"/>
      <c r="S125" s="71"/>
      <c r="AE125" s="70"/>
      <c r="AI125" s="104"/>
      <c r="AJ125" s="105"/>
    </row>
    <row r="126" spans="1:37" ht="24.95" customHeight="1" thickTop="1" thickBot="1" x14ac:dyDescent="0.25">
      <c r="B126" s="244"/>
      <c r="C126" s="82"/>
      <c r="D126" s="150"/>
      <c r="E126" s="150" t="s">
        <v>181</v>
      </c>
      <c r="F126" s="150"/>
      <c r="G126" s="150"/>
      <c r="H126" s="150"/>
      <c r="I126" s="150"/>
      <c r="J126" s="269"/>
      <c r="K126" s="270">
        <v>600</v>
      </c>
      <c r="L126" s="158"/>
      <c r="M126" s="242"/>
      <c r="O126" s="110"/>
      <c r="P126" s="265"/>
      <c r="Q126" s="204"/>
      <c r="R126" s="70"/>
      <c r="S126" s="71"/>
      <c r="AE126" s="70"/>
      <c r="AI126" s="104"/>
      <c r="AJ126" s="104"/>
    </row>
    <row r="127" spans="1:37" ht="24.95" customHeight="1" thickTop="1" thickBot="1" x14ac:dyDescent="0.25">
      <c r="B127" s="244"/>
      <c r="C127" s="82"/>
      <c r="D127" s="27"/>
      <c r="E127" s="150" t="s">
        <v>182</v>
      </c>
      <c r="F127" s="150"/>
      <c r="G127" s="150"/>
      <c r="H127" s="150"/>
      <c r="I127" s="150"/>
      <c r="J127" s="269"/>
      <c r="K127" s="270">
        <v>40</v>
      </c>
      <c r="L127" s="158"/>
      <c r="M127" s="242"/>
      <c r="O127" s="110"/>
      <c r="P127" s="265"/>
      <c r="Q127" s="204"/>
      <c r="R127" s="70"/>
      <c r="S127" s="71"/>
      <c r="AE127" s="70"/>
      <c r="AI127" s="104"/>
      <c r="AJ127" s="104"/>
    </row>
    <row r="128" spans="1:37" ht="24.95" customHeight="1" thickTop="1" thickBot="1" x14ac:dyDescent="0.25">
      <c r="B128" s="244"/>
      <c r="C128" s="82"/>
      <c r="D128" s="27"/>
      <c r="E128" s="150" t="s">
        <v>180</v>
      </c>
      <c r="F128" s="151"/>
      <c r="G128" s="151"/>
      <c r="H128" s="151"/>
      <c r="I128" s="151"/>
      <c r="J128" s="266"/>
      <c r="K128" s="270">
        <v>128</v>
      </c>
      <c r="L128" s="158"/>
      <c r="M128" s="242"/>
      <c r="O128" s="110"/>
      <c r="P128" s="265"/>
      <c r="Q128" s="204"/>
      <c r="R128" s="70"/>
      <c r="S128" s="71"/>
      <c r="AE128" s="70"/>
      <c r="AI128" s="104"/>
      <c r="AJ128" s="104"/>
    </row>
    <row r="129" spans="2:36" ht="21.75" thickTop="1" thickBot="1" x14ac:dyDescent="0.25">
      <c r="B129" s="244"/>
      <c r="C129" s="82"/>
      <c r="D129" s="27"/>
      <c r="E129" s="150" t="s">
        <v>183</v>
      </c>
      <c r="F129" s="151"/>
      <c r="G129" s="151"/>
      <c r="H129" s="151"/>
      <c r="I129" s="151"/>
      <c r="J129" s="266"/>
      <c r="K129" s="270">
        <v>20</v>
      </c>
      <c r="L129" s="158"/>
      <c r="M129" s="242"/>
      <c r="O129" s="110"/>
      <c r="P129" s="265"/>
      <c r="Q129" s="204"/>
      <c r="R129" s="70"/>
      <c r="S129" s="71"/>
      <c r="AE129" s="70"/>
      <c r="AI129" s="104"/>
      <c r="AJ129" s="104"/>
    </row>
    <row r="130" spans="2:36" ht="21" thickTop="1" x14ac:dyDescent="0.2">
      <c r="B130" s="244"/>
      <c r="C130" s="82"/>
      <c r="D130" s="27"/>
      <c r="E130" s="150"/>
      <c r="F130" s="151"/>
      <c r="G130" s="151"/>
      <c r="H130" s="151"/>
      <c r="I130" s="151"/>
      <c r="J130" s="266"/>
      <c r="K130" s="158"/>
      <c r="L130" s="158"/>
      <c r="M130" s="242"/>
      <c r="O130" s="110"/>
      <c r="P130" s="265"/>
      <c r="Q130" s="204"/>
      <c r="R130" s="70"/>
      <c r="S130" s="71"/>
      <c r="AE130" s="70"/>
    </row>
    <row r="131" spans="2:36" ht="20.25" x14ac:dyDescent="0.2">
      <c r="B131" s="244"/>
      <c r="C131" s="82"/>
      <c r="D131" s="27"/>
      <c r="E131" s="150" t="s">
        <v>60</v>
      </c>
      <c r="F131" s="151"/>
      <c r="G131" s="151"/>
      <c r="H131" s="151"/>
      <c r="I131" s="151"/>
      <c r="J131" s="266"/>
      <c r="K131" s="158">
        <f>GTF_K_VAR/256*GTF_M_VAR</f>
        <v>300</v>
      </c>
      <c r="L131" s="158"/>
      <c r="M131" s="242"/>
      <c r="O131" s="110"/>
      <c r="P131" s="265"/>
      <c r="Q131" s="204"/>
      <c r="R131" s="70"/>
      <c r="S131" s="71"/>
      <c r="AE131" s="70"/>
    </row>
    <row r="132" spans="2:36" ht="20.25" x14ac:dyDescent="0.2">
      <c r="B132" s="244"/>
      <c r="C132" s="82"/>
      <c r="D132" s="27"/>
      <c r="E132" s="150" t="s">
        <v>61</v>
      </c>
      <c r="F132" s="151"/>
      <c r="G132" s="151"/>
      <c r="H132" s="151"/>
      <c r="I132" s="151"/>
      <c r="J132" s="266"/>
      <c r="K132" s="158">
        <f>((GTF_C_VAR-GTF_J_VAR)*GTF_K_VAR/256)+GTF_J_VAR</f>
        <v>30</v>
      </c>
      <c r="L132" s="158"/>
      <c r="M132" s="242"/>
      <c r="O132" s="110"/>
      <c r="P132" s="265"/>
      <c r="Q132" s="204"/>
      <c r="R132" s="70"/>
      <c r="S132" s="71"/>
      <c r="AE132" s="70"/>
    </row>
    <row r="133" spans="2:36" ht="20.25" x14ac:dyDescent="0.2">
      <c r="B133" s="244"/>
      <c r="C133" s="82"/>
      <c r="D133" s="27"/>
      <c r="E133" s="150"/>
      <c r="F133" s="151"/>
      <c r="G133" s="151"/>
      <c r="H133" s="151"/>
      <c r="I133" s="151"/>
      <c r="J133" s="266"/>
      <c r="K133" s="158"/>
      <c r="L133" s="158"/>
      <c r="M133" s="242"/>
      <c r="Q133" s="271"/>
      <c r="R133" s="70"/>
      <c r="S133" s="71"/>
      <c r="AE133" s="70"/>
    </row>
    <row r="134" spans="2:36" ht="20.25" x14ac:dyDescent="0.2">
      <c r="B134" s="244"/>
      <c r="C134" s="82"/>
      <c r="D134" s="27"/>
      <c r="E134" s="150"/>
      <c r="F134" s="151"/>
      <c r="G134" s="151"/>
      <c r="H134" s="151"/>
      <c r="I134" s="151"/>
      <c r="J134" s="266"/>
      <c r="K134" s="158"/>
      <c r="L134" s="158"/>
      <c r="M134" s="242"/>
      <c r="R134" s="70"/>
      <c r="S134" s="71"/>
      <c r="AE134" s="70"/>
    </row>
    <row r="135" spans="2:36" ht="24" thickBot="1" x14ac:dyDescent="0.25">
      <c r="B135" s="243" t="s">
        <v>86</v>
      </c>
      <c r="C135" s="82"/>
      <c r="D135" s="27"/>
      <c r="E135" s="150"/>
      <c r="F135" s="151"/>
      <c r="G135" s="151"/>
      <c r="H135" s="151"/>
      <c r="I135" s="151"/>
      <c r="J135" s="266"/>
      <c r="K135" s="158"/>
      <c r="L135" s="158"/>
      <c r="M135" s="242"/>
      <c r="R135" s="70"/>
      <c r="S135" s="71"/>
      <c r="AE135" s="70"/>
    </row>
    <row r="136" spans="2:36" ht="24.75" thickTop="1" thickBot="1" x14ac:dyDescent="0.25">
      <c r="B136" s="244"/>
      <c r="C136" s="82"/>
      <c r="D136" s="317" t="s">
        <v>209</v>
      </c>
      <c r="E136" s="27"/>
      <c r="F136" s="231"/>
      <c r="G136" s="231"/>
      <c r="H136" s="231"/>
      <c r="I136" s="247"/>
      <c r="J136" s="231"/>
      <c r="K136" s="263">
        <f>IF(AND((RED_BLANK_RQD?="y"),(RED_BLANK_VER="y")),K138,K137)</f>
        <v>80</v>
      </c>
      <c r="L136" s="158"/>
      <c r="M136" s="242"/>
      <c r="R136" s="70"/>
      <c r="S136" s="71"/>
      <c r="AE136" s="70"/>
    </row>
    <row r="137" spans="2:36" ht="24.75" thickTop="1" thickBot="1" x14ac:dyDescent="0.25">
      <c r="B137" s="244"/>
      <c r="C137" s="82"/>
      <c r="D137" s="317" t="s">
        <v>206</v>
      </c>
      <c r="E137" s="27"/>
      <c r="F137" s="231"/>
      <c r="G137" s="231"/>
      <c r="H137" s="231"/>
      <c r="I137" s="247"/>
      <c r="J137" s="231"/>
      <c r="K137" s="263">
        <v>160</v>
      </c>
      <c r="L137" s="158"/>
      <c r="M137" s="242"/>
      <c r="R137" s="70"/>
      <c r="S137" s="71"/>
      <c r="AE137" s="70"/>
    </row>
    <row r="138" spans="2:36" ht="24.75" thickTop="1" thickBot="1" x14ac:dyDescent="0.25">
      <c r="B138" s="244"/>
      <c r="C138" s="82"/>
      <c r="D138" s="317" t="s">
        <v>207</v>
      </c>
      <c r="E138" s="27"/>
      <c r="F138" s="231"/>
      <c r="G138" s="231"/>
      <c r="H138" s="231"/>
      <c r="I138" s="247"/>
      <c r="J138" s="231"/>
      <c r="K138" s="263">
        <v>80</v>
      </c>
      <c r="L138" s="158"/>
      <c r="M138" s="242"/>
      <c r="R138" s="70"/>
      <c r="S138" s="71"/>
      <c r="AE138" s="70"/>
    </row>
    <row r="139" spans="2:36" ht="24.75" thickTop="1" thickBot="1" x14ac:dyDescent="0.25">
      <c r="B139" s="244"/>
      <c r="C139" s="82"/>
      <c r="D139" s="27" t="s">
        <v>184</v>
      </c>
      <c r="E139" s="27"/>
      <c r="F139" s="231"/>
      <c r="G139" s="231"/>
      <c r="H139" s="231"/>
      <c r="I139" s="247"/>
      <c r="J139" s="231"/>
      <c r="K139" s="263">
        <v>32</v>
      </c>
      <c r="L139" s="158"/>
      <c r="M139" s="242"/>
      <c r="R139" s="70"/>
      <c r="S139" s="71"/>
      <c r="AE139" s="70"/>
    </row>
    <row r="140" spans="2:36" ht="24.75" thickTop="1" thickBot="1" x14ac:dyDescent="0.25">
      <c r="B140" s="244"/>
      <c r="C140" s="82"/>
      <c r="D140" s="27"/>
      <c r="E140" s="27"/>
      <c r="F140" s="231"/>
      <c r="G140" s="231"/>
      <c r="H140" s="231"/>
      <c r="I140" s="247"/>
      <c r="J140" s="231"/>
      <c r="K140" s="272"/>
      <c r="L140" s="158"/>
      <c r="M140" s="242"/>
      <c r="R140" s="70"/>
      <c r="S140" s="71"/>
      <c r="AE140" s="70"/>
    </row>
    <row r="141" spans="2:36" ht="24.75" thickTop="1" thickBot="1" x14ac:dyDescent="0.25">
      <c r="B141" s="244"/>
      <c r="C141" s="82"/>
      <c r="D141" s="27" t="s">
        <v>185</v>
      </c>
      <c r="E141" s="27"/>
      <c r="F141" s="231"/>
      <c r="G141" s="231"/>
      <c r="H141" s="231"/>
      <c r="I141" s="247"/>
      <c r="J141" s="231"/>
      <c r="K141" s="259">
        <v>460</v>
      </c>
      <c r="L141" s="158"/>
      <c r="M141" s="242"/>
      <c r="R141" s="70"/>
      <c r="S141" s="71"/>
      <c r="AE141" s="70"/>
    </row>
    <row r="142" spans="2:36" ht="24.75" thickTop="1" thickBot="1" x14ac:dyDescent="0.25">
      <c r="B142" s="244"/>
      <c r="C142" s="82"/>
      <c r="D142" s="27" t="s">
        <v>217</v>
      </c>
      <c r="E142" s="27"/>
      <c r="F142" s="231"/>
      <c r="G142" s="231"/>
      <c r="H142" s="231"/>
      <c r="I142" s="247"/>
      <c r="J142" s="231"/>
      <c r="K142" s="263">
        <f>IF(AND((RED_BLANK_RQD?="y"),(RED_BLANK_VER="y")),K144,K143)</f>
        <v>1</v>
      </c>
      <c r="L142" s="158"/>
      <c r="M142" s="242"/>
      <c r="R142" s="70"/>
      <c r="S142" s="71"/>
      <c r="AE142" s="70"/>
    </row>
    <row r="143" spans="2:36" ht="24.75" thickTop="1" thickBot="1" x14ac:dyDescent="0.25">
      <c r="B143" s="244"/>
      <c r="C143" s="82"/>
      <c r="D143" s="317" t="s">
        <v>212</v>
      </c>
      <c r="E143" s="27"/>
      <c r="F143" s="231"/>
      <c r="G143" s="231"/>
      <c r="H143" s="231"/>
      <c r="I143" s="247"/>
      <c r="J143" s="231"/>
      <c r="K143" s="263">
        <v>3</v>
      </c>
      <c r="L143" s="158"/>
      <c r="M143" s="242"/>
      <c r="R143" s="70"/>
      <c r="S143" s="71"/>
      <c r="AE143" s="70"/>
    </row>
    <row r="144" spans="2:36" ht="24.75" thickTop="1" thickBot="1" x14ac:dyDescent="0.25">
      <c r="B144" s="244"/>
      <c r="C144" s="82"/>
      <c r="D144" s="317" t="s">
        <v>214</v>
      </c>
      <c r="E144" s="27"/>
      <c r="F144" s="231"/>
      <c r="G144" s="231"/>
      <c r="H144" s="231"/>
      <c r="I144" s="247"/>
      <c r="J144" s="231"/>
      <c r="K144" s="263">
        <v>1</v>
      </c>
      <c r="L144" s="158"/>
      <c r="M144" s="242"/>
      <c r="R144" s="70"/>
      <c r="S144" s="71"/>
      <c r="AE144" s="70"/>
    </row>
    <row r="145" spans="2:31" ht="21" thickTop="1" thickBot="1" x14ac:dyDescent="0.25">
      <c r="B145" s="244"/>
      <c r="C145" s="82"/>
      <c r="L145" s="158"/>
      <c r="M145" s="242"/>
      <c r="R145" s="70"/>
      <c r="S145" s="71"/>
      <c r="AE145" s="70"/>
    </row>
    <row r="146" spans="2:31" ht="24.75" thickTop="1" thickBot="1" x14ac:dyDescent="0.25">
      <c r="B146" s="244"/>
      <c r="C146" s="82"/>
      <c r="D146" s="27" t="s">
        <v>218</v>
      </c>
      <c r="E146" s="27"/>
      <c r="F146" s="231"/>
      <c r="G146" s="231"/>
      <c r="H146" s="231"/>
      <c r="I146" s="247"/>
      <c r="J146" s="231"/>
      <c r="K146" s="263">
        <f>IF(AND((RED_BLANK_RQD?="y"),(RED_BLANK_VER="y")),K148,K147)</f>
        <v>6</v>
      </c>
      <c r="L146" s="158"/>
      <c r="M146" s="242"/>
      <c r="R146" s="70"/>
      <c r="S146" s="71"/>
      <c r="AE146" s="70"/>
    </row>
    <row r="147" spans="2:31" ht="24.75" thickTop="1" thickBot="1" x14ac:dyDescent="0.25">
      <c r="B147" s="244"/>
      <c r="C147" s="82"/>
      <c r="D147" s="317" t="s">
        <v>215</v>
      </c>
      <c r="E147" s="27"/>
      <c r="F147" s="231"/>
      <c r="G147" s="231"/>
      <c r="H147" s="231"/>
      <c r="I147" s="247"/>
      <c r="J147" s="231"/>
      <c r="K147" s="263">
        <v>6</v>
      </c>
      <c r="L147" s="158"/>
      <c r="M147" s="242"/>
      <c r="R147" s="70"/>
      <c r="S147" s="71"/>
      <c r="AE147" s="70"/>
    </row>
    <row r="148" spans="2:31" ht="24.75" thickTop="1" thickBot="1" x14ac:dyDescent="0.25">
      <c r="B148" s="244"/>
      <c r="C148" s="82"/>
      <c r="D148" s="27" t="s">
        <v>211</v>
      </c>
      <c r="E148" s="27"/>
      <c r="F148" s="231"/>
      <c r="G148" s="231"/>
      <c r="H148" s="231"/>
      <c r="I148" s="247"/>
      <c r="J148" s="231"/>
      <c r="K148" s="263">
        <v>6</v>
      </c>
      <c r="L148" s="158"/>
      <c r="M148" s="242"/>
      <c r="R148" s="70"/>
      <c r="S148" s="71"/>
      <c r="AE148" s="70"/>
    </row>
    <row r="149" spans="2:31" ht="24.75" thickTop="1" thickBot="1" x14ac:dyDescent="0.25">
      <c r="B149" s="244"/>
      <c r="C149" s="82"/>
      <c r="D149" s="27"/>
      <c r="E149" s="27"/>
      <c r="F149" s="231"/>
      <c r="G149" s="231"/>
      <c r="H149" s="231"/>
      <c r="I149" s="247"/>
      <c r="J149" s="231"/>
      <c r="K149" s="273"/>
      <c r="L149" s="158"/>
      <c r="M149" s="242"/>
      <c r="R149" s="70"/>
      <c r="S149" s="71"/>
      <c r="AE149" s="70"/>
    </row>
    <row r="150" spans="2:31" ht="24.75" thickTop="1" thickBot="1" x14ac:dyDescent="0.25">
      <c r="B150" s="243" t="s">
        <v>175</v>
      </c>
      <c r="C150" s="82"/>
      <c r="D150" s="27"/>
      <c r="E150" s="27"/>
      <c r="F150" s="231"/>
      <c r="G150" s="231"/>
      <c r="H150" s="231"/>
      <c r="I150" s="247"/>
      <c r="J150" s="231"/>
      <c r="K150" s="259">
        <f>IF(AND((RED_BLANK_RQD?="y"),(RED_BLANK_VER="y")),K152,K151)</f>
        <v>1E-3</v>
      </c>
      <c r="L150" s="158"/>
      <c r="M150" s="242"/>
      <c r="O150" s="70"/>
      <c r="P150" s="71"/>
      <c r="Q150" s="72"/>
      <c r="R150" s="73"/>
      <c r="S150" s="70"/>
      <c r="T150" s="71"/>
      <c r="W150" s="70"/>
      <c r="X150" s="71"/>
      <c r="AE150" s="70"/>
    </row>
    <row r="151" spans="2:31" ht="24" thickTop="1" x14ac:dyDescent="0.2">
      <c r="B151" s="243"/>
      <c r="C151" s="82"/>
      <c r="D151" s="317" t="s">
        <v>213</v>
      </c>
      <c r="E151" s="27"/>
      <c r="F151" s="231"/>
      <c r="G151" s="231"/>
      <c r="H151" s="231"/>
      <c r="I151" s="247"/>
      <c r="J151" s="231"/>
      <c r="K151" s="260">
        <v>0.25</v>
      </c>
      <c r="L151" s="158"/>
      <c r="M151" s="242"/>
      <c r="O151" s="70"/>
      <c r="P151" s="71"/>
      <c r="Q151" s="72"/>
      <c r="R151" s="73"/>
      <c r="S151" s="70"/>
      <c r="T151" s="71"/>
      <c r="W151" s="70"/>
      <c r="X151" s="71"/>
      <c r="AE151" s="70"/>
    </row>
    <row r="152" spans="2:31" ht="24" customHeight="1" x14ac:dyDescent="0.2">
      <c r="B152" s="4"/>
      <c r="C152" s="6"/>
      <c r="D152" s="319" t="s">
        <v>202</v>
      </c>
      <c r="E152" s="319"/>
      <c r="F152" s="319"/>
      <c r="G152" s="319"/>
      <c r="H152" s="319"/>
      <c r="I152" s="319"/>
      <c r="J152" s="319"/>
      <c r="K152" s="320">
        <v>1E-3</v>
      </c>
      <c r="L152" s="274"/>
      <c r="M152" s="275"/>
      <c r="N152" s="6"/>
      <c r="O152" s="279"/>
      <c r="P152" s="280"/>
      <c r="Q152" s="281"/>
      <c r="R152" s="282"/>
      <c r="S152" s="279"/>
      <c r="T152" s="280"/>
      <c r="U152" s="279"/>
      <c r="V152" s="279"/>
      <c r="W152" s="279"/>
      <c r="X152" s="280"/>
      <c r="Y152" s="279"/>
      <c r="Z152" s="279"/>
      <c r="AA152" s="279"/>
      <c r="AB152" s="279"/>
      <c r="AC152" s="279"/>
      <c r="AE152" s="70"/>
    </row>
    <row r="153" spans="2:31" ht="24" customHeight="1" x14ac:dyDescent="0.2">
      <c r="B153" s="243" t="s">
        <v>189</v>
      </c>
      <c r="C153" s="6"/>
      <c r="D153" s="6"/>
      <c r="E153" s="6"/>
      <c r="F153" s="6"/>
      <c r="G153" s="6"/>
      <c r="H153" s="6"/>
      <c r="I153" s="6"/>
      <c r="J153" s="6"/>
      <c r="K153" s="274"/>
      <c r="L153" s="274"/>
      <c r="M153" s="275"/>
      <c r="N153" s="6"/>
      <c r="O153" s="279"/>
      <c r="P153" s="280"/>
      <c r="Q153" s="281"/>
      <c r="R153" s="282"/>
      <c r="S153" s="279"/>
      <c r="T153" s="280"/>
      <c r="U153" s="279"/>
      <c r="V153" s="279"/>
      <c r="W153" s="279"/>
      <c r="X153" s="280"/>
      <c r="Y153" s="279"/>
      <c r="Z153" s="279"/>
      <c r="AA153" s="279"/>
      <c r="AB153" s="279"/>
      <c r="AC153" s="279"/>
      <c r="AE153" s="70"/>
    </row>
    <row r="154" spans="2:31" s="279" customFormat="1" ht="24" customHeight="1" x14ac:dyDescent="0.2">
      <c r="B154" s="243"/>
      <c r="C154" s="276"/>
      <c r="D154" s="276"/>
      <c r="E154" s="276"/>
      <c r="F154" s="276"/>
      <c r="G154" s="276"/>
      <c r="H154" s="276"/>
      <c r="I154" s="276"/>
      <c r="J154" s="276"/>
      <c r="K154" s="277"/>
      <c r="L154" s="277"/>
      <c r="M154" s="278"/>
      <c r="N154" s="276"/>
      <c r="P154" s="280"/>
      <c r="Q154" s="281"/>
      <c r="R154" s="282"/>
      <c r="T154" s="280"/>
      <c r="X154" s="280"/>
    </row>
    <row r="155" spans="2:31" s="279" customFormat="1" ht="24" customHeight="1" thickBot="1" x14ac:dyDescent="0.25">
      <c r="B155" s="243"/>
      <c r="C155" s="276"/>
      <c r="D155" s="264" t="s">
        <v>192</v>
      </c>
      <c r="E155" s="276"/>
      <c r="F155" s="276"/>
      <c r="G155" s="264" t="s">
        <v>193</v>
      </c>
      <c r="H155" s="276"/>
      <c r="I155" s="276"/>
      <c r="J155" s="276"/>
      <c r="K155" s="277"/>
      <c r="L155" s="277"/>
      <c r="M155" s="278"/>
      <c r="N155" s="276"/>
      <c r="P155" s="280"/>
      <c r="Q155" s="281"/>
      <c r="R155" s="282"/>
      <c r="T155" s="280"/>
      <c r="X155" s="280"/>
    </row>
    <row r="156" spans="2:31" s="279" customFormat="1" ht="24" customHeight="1" thickBot="1" x14ac:dyDescent="0.25">
      <c r="B156" s="283"/>
      <c r="C156" s="276"/>
      <c r="D156" s="276"/>
      <c r="E156" s="314" t="s">
        <v>194</v>
      </c>
      <c r="F156" s="276"/>
      <c r="G156" s="276"/>
      <c r="H156" s="276"/>
      <c r="I156" s="276"/>
      <c r="J156" s="276"/>
      <c r="K156" s="277"/>
      <c r="L156" s="277"/>
      <c r="M156" s="278"/>
      <c r="N156" s="276"/>
      <c r="P156" s="280"/>
      <c r="Q156" s="281"/>
      <c r="R156" s="282"/>
      <c r="T156" s="280"/>
      <c r="X156" s="280"/>
    </row>
    <row r="157" spans="2:31" s="279" customFormat="1" ht="24" customHeight="1" thickBot="1" x14ac:dyDescent="0.25">
      <c r="B157" s="283"/>
      <c r="C157" s="276"/>
      <c r="D157" s="315" t="s">
        <v>167</v>
      </c>
      <c r="E157" s="284">
        <v>4</v>
      </c>
      <c r="F157" s="276"/>
      <c r="G157" s="285" t="s">
        <v>190</v>
      </c>
      <c r="H157" s="286" t="s">
        <v>191</v>
      </c>
      <c r="I157" s="287" t="s">
        <v>160</v>
      </c>
      <c r="J157" s="288"/>
      <c r="K157" s="289"/>
      <c r="L157" s="277"/>
      <c r="M157" s="278"/>
      <c r="N157" s="276"/>
      <c r="P157" s="280"/>
      <c r="Q157" s="281"/>
      <c r="R157" s="282"/>
      <c r="T157" s="280"/>
      <c r="X157" s="280"/>
    </row>
    <row r="158" spans="2:31" s="279" customFormat="1" ht="24" customHeight="1" x14ac:dyDescent="0.2">
      <c r="B158" s="283"/>
      <c r="C158" s="276"/>
      <c r="D158" s="291" t="s">
        <v>166</v>
      </c>
      <c r="E158" s="290">
        <f t="shared" ref="E158:E164" si="1">E157+1</f>
        <v>5</v>
      </c>
      <c r="F158" s="276"/>
      <c r="G158" s="57" t="s">
        <v>164</v>
      </c>
      <c r="H158" s="58" t="s">
        <v>165</v>
      </c>
      <c r="I158" s="59" t="s">
        <v>161</v>
      </c>
      <c r="J158" s="60"/>
      <c r="K158" s="61"/>
      <c r="L158" s="277"/>
      <c r="M158" s="278"/>
      <c r="N158" s="276"/>
      <c r="P158" s="280"/>
      <c r="Q158" s="281"/>
      <c r="R158" s="282"/>
      <c r="T158" s="280"/>
      <c r="X158" s="280"/>
    </row>
    <row r="159" spans="2:31" s="279" customFormat="1" ht="24" customHeight="1" thickBot="1" x14ac:dyDescent="0.25">
      <c r="B159" s="283"/>
      <c r="C159" s="276"/>
      <c r="D159" s="291" t="s">
        <v>168</v>
      </c>
      <c r="E159" s="290">
        <f t="shared" si="1"/>
        <v>6</v>
      </c>
      <c r="F159" s="292"/>
      <c r="G159" s="62" t="s">
        <v>165</v>
      </c>
      <c r="H159" s="63" t="s">
        <v>164</v>
      </c>
      <c r="I159" s="64" t="s">
        <v>200</v>
      </c>
      <c r="J159" s="65"/>
      <c r="K159" s="66"/>
      <c r="L159" s="277"/>
      <c r="M159" s="278"/>
      <c r="N159" s="276"/>
      <c r="P159" s="280"/>
      <c r="Q159" s="281"/>
      <c r="R159" s="282"/>
      <c r="T159" s="280"/>
      <c r="X159" s="280"/>
    </row>
    <row r="160" spans="2:31" s="279" customFormat="1" ht="24" customHeight="1" x14ac:dyDescent="0.2">
      <c r="B160" s="283"/>
      <c r="C160" s="276"/>
      <c r="D160" s="291" t="s">
        <v>170</v>
      </c>
      <c r="E160" s="290">
        <f t="shared" si="1"/>
        <v>7</v>
      </c>
      <c r="F160" s="293"/>
      <c r="G160" s="276"/>
      <c r="H160" s="276"/>
      <c r="I160" s="276"/>
      <c r="J160" s="276"/>
      <c r="K160" s="277"/>
      <c r="L160" s="277"/>
      <c r="M160" s="278"/>
      <c r="N160" s="276"/>
      <c r="P160" s="280"/>
      <c r="Q160" s="281"/>
      <c r="R160" s="282"/>
      <c r="T160" s="280"/>
      <c r="X160" s="280"/>
    </row>
    <row r="161" spans="1:35" s="279" customFormat="1" ht="24" customHeight="1" x14ac:dyDescent="0.2">
      <c r="B161" s="283"/>
      <c r="C161" s="276"/>
      <c r="D161" s="291" t="s">
        <v>169</v>
      </c>
      <c r="E161" s="290">
        <v>7</v>
      </c>
      <c r="F161" s="293"/>
      <c r="G161" s="276"/>
      <c r="H161" s="276"/>
      <c r="I161" s="276"/>
      <c r="J161" s="276"/>
      <c r="K161" s="277"/>
      <c r="L161" s="277"/>
      <c r="M161" s="278"/>
      <c r="N161" s="276"/>
      <c r="P161" s="280"/>
      <c r="Q161" s="281"/>
      <c r="R161" s="282"/>
      <c r="T161" s="280"/>
      <c r="X161" s="280"/>
    </row>
    <row r="162" spans="1:35" s="279" customFormat="1" ht="24" customHeight="1" x14ac:dyDescent="0.2">
      <c r="B162" s="283"/>
      <c r="C162" s="276"/>
      <c r="D162" s="291" t="s">
        <v>199</v>
      </c>
      <c r="E162" s="290">
        <f>E160+1</f>
        <v>8</v>
      </c>
      <c r="F162" s="293"/>
      <c r="G162" s="276"/>
      <c r="H162" s="276"/>
      <c r="I162" s="276"/>
      <c r="J162" s="276"/>
      <c r="K162" s="277"/>
      <c r="L162" s="277"/>
      <c r="M162" s="278"/>
      <c r="N162" s="276"/>
      <c r="P162" s="280"/>
      <c r="Q162" s="281"/>
      <c r="R162" s="282"/>
      <c r="T162" s="280"/>
      <c r="X162" s="280"/>
    </row>
    <row r="163" spans="1:35" s="279" customFormat="1" ht="24" customHeight="1" x14ac:dyDescent="0.2">
      <c r="B163" s="283"/>
      <c r="C163" s="276"/>
      <c r="D163" s="294" t="s">
        <v>157</v>
      </c>
      <c r="E163" s="290">
        <f t="shared" si="1"/>
        <v>9</v>
      </c>
      <c r="F163" s="293"/>
      <c r="G163" s="276"/>
      <c r="H163" s="276"/>
      <c r="I163" s="276"/>
      <c r="J163" s="276"/>
      <c r="K163" s="277"/>
      <c r="L163" s="277"/>
      <c r="M163" s="278"/>
      <c r="N163" s="276"/>
      <c r="P163" s="280"/>
      <c r="Q163" s="281"/>
      <c r="R163" s="282"/>
      <c r="T163" s="280"/>
      <c r="X163" s="280"/>
    </row>
    <row r="164" spans="1:35" s="279" customFormat="1" ht="24" customHeight="1" thickBot="1" x14ac:dyDescent="0.25">
      <c r="B164" s="283"/>
      <c r="C164" s="276"/>
      <c r="D164" s="295" t="s">
        <v>156</v>
      </c>
      <c r="E164" s="296">
        <f t="shared" si="1"/>
        <v>10</v>
      </c>
      <c r="F164" s="276"/>
      <c r="G164" s="276"/>
      <c r="H164" s="276"/>
      <c r="I164" s="276"/>
      <c r="J164" s="276"/>
      <c r="K164" s="277"/>
      <c r="L164" s="276"/>
      <c r="M164" s="278"/>
      <c r="N164" s="276"/>
      <c r="P164" s="280"/>
      <c r="Q164" s="281"/>
      <c r="R164" s="282"/>
      <c r="T164" s="280"/>
      <c r="X164" s="280"/>
    </row>
    <row r="165" spans="1:35" s="279" customFormat="1" ht="24" customHeight="1" thickBot="1" x14ac:dyDescent="0.25">
      <c r="B165" s="297"/>
      <c r="C165" s="298"/>
      <c r="D165" s="298"/>
      <c r="E165" s="299"/>
      <c r="F165" s="298"/>
      <c r="G165" s="298"/>
      <c r="H165" s="298"/>
      <c r="I165" s="298"/>
      <c r="J165" s="298"/>
      <c r="K165" s="298"/>
      <c r="L165" s="298"/>
      <c r="M165" s="300"/>
      <c r="N165" s="276"/>
      <c r="P165" s="280"/>
      <c r="Q165" s="281"/>
      <c r="R165" s="282"/>
      <c r="T165" s="280"/>
      <c r="X165" s="280"/>
    </row>
    <row r="166" spans="1:35" s="279" customFormat="1" ht="24" customHeight="1" thickTop="1" x14ac:dyDescent="0.2">
      <c r="N166" s="276"/>
      <c r="O166" s="301"/>
      <c r="P166" s="302"/>
      <c r="Q166" s="303"/>
      <c r="R166" s="304"/>
      <c r="S166" s="301"/>
      <c r="T166" s="302"/>
      <c r="U166" s="301"/>
      <c r="V166" s="301"/>
      <c r="W166" s="301"/>
      <c r="X166" s="302"/>
      <c r="Y166" s="301"/>
      <c r="Z166" s="301"/>
      <c r="AA166" s="301"/>
      <c r="AB166" s="301"/>
      <c r="AC166" s="301"/>
    </row>
    <row r="167" spans="1:35" s="279" customFormat="1" ht="24" customHeight="1" x14ac:dyDescent="0.2">
      <c r="B167" s="301"/>
      <c r="C167" s="301"/>
      <c r="D167" s="301"/>
      <c r="E167" s="301"/>
      <c r="F167" s="301"/>
      <c r="L167" s="301"/>
      <c r="M167" s="301"/>
      <c r="N167" s="276"/>
      <c r="O167" s="302"/>
      <c r="P167" s="303"/>
      <c r="Q167" s="304"/>
      <c r="R167" s="301"/>
      <c r="S167" s="302"/>
      <c r="T167" s="301"/>
      <c r="U167" s="301"/>
      <c r="V167" s="301"/>
      <c r="W167" s="302"/>
      <c r="X167" s="301"/>
      <c r="Y167" s="301"/>
      <c r="Z167" s="301"/>
      <c r="AA167" s="301"/>
      <c r="AB167" s="301"/>
      <c r="AC167" s="301"/>
    </row>
    <row r="168" spans="1:35" s="301" customFormat="1" ht="18" x14ac:dyDescent="0.2">
      <c r="M168" s="6"/>
      <c r="N168" s="6"/>
      <c r="O168" s="302"/>
      <c r="P168" s="303"/>
      <c r="Q168" s="304"/>
      <c r="S168" s="302"/>
      <c r="W168" s="302"/>
    </row>
    <row r="169" spans="1:35" s="301" customFormat="1" ht="18" x14ac:dyDescent="0.2">
      <c r="B169" s="70"/>
      <c r="C169" s="70"/>
      <c r="M169" s="6"/>
      <c r="O169" s="302"/>
      <c r="P169" s="303"/>
      <c r="Q169" s="304"/>
      <c r="S169" s="302"/>
      <c r="W169" s="302"/>
      <c r="AI169" s="6"/>
    </row>
    <row r="170" spans="1:35" s="301" customFormat="1" ht="18" x14ac:dyDescent="0.2">
      <c r="B170" s="70"/>
      <c r="C170" s="70"/>
      <c r="D170" s="70"/>
      <c r="E170" s="70"/>
      <c r="F170" s="70"/>
      <c r="L170" s="70"/>
      <c r="M170" s="70"/>
      <c r="O170" s="302"/>
      <c r="P170" s="303"/>
      <c r="Q170" s="304"/>
      <c r="S170" s="302"/>
      <c r="W170" s="302"/>
      <c r="AI170" s="8"/>
    </row>
    <row r="171" spans="1:35" s="301" customFormat="1" ht="18" x14ac:dyDescent="0.2">
      <c r="A171" s="305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O171" s="302"/>
      <c r="P171" s="303"/>
      <c r="Q171" s="304"/>
      <c r="S171" s="302"/>
      <c r="W171" s="302"/>
      <c r="AI171" s="8"/>
    </row>
    <row r="172" spans="1:35" s="301" customFormat="1" ht="18" x14ac:dyDescent="0.2"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O172" s="302"/>
      <c r="P172" s="303"/>
      <c r="Q172" s="304"/>
      <c r="S172" s="71"/>
      <c r="T172" s="70"/>
      <c r="U172" s="70"/>
      <c r="W172" s="302"/>
      <c r="AI172" s="8"/>
    </row>
    <row r="173" spans="1:35" s="301" customFormat="1" ht="18" x14ac:dyDescent="0.2"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O173" s="302"/>
      <c r="P173" s="303"/>
      <c r="Q173" s="304"/>
      <c r="S173" s="71"/>
      <c r="T173" s="70"/>
      <c r="U173" s="70"/>
      <c r="W173" s="302"/>
      <c r="AI173" s="6"/>
    </row>
    <row r="174" spans="1:35" s="301" customFormat="1" ht="18" x14ac:dyDescent="0.2"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O174" s="71"/>
      <c r="P174" s="72"/>
      <c r="Q174" s="73"/>
      <c r="R174" s="70"/>
      <c r="S174" s="71"/>
      <c r="T174" s="70"/>
      <c r="U174" s="70"/>
      <c r="V174" s="70"/>
      <c r="W174" s="302"/>
      <c r="Z174" s="70"/>
      <c r="AA174" s="70"/>
      <c r="AB174" s="70"/>
      <c r="AC174" s="70"/>
    </row>
    <row r="175" spans="1:35" s="301" customFormat="1" ht="18" x14ac:dyDescent="0.2"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O175" s="71"/>
      <c r="P175" s="72"/>
      <c r="Q175" s="73"/>
      <c r="R175" s="70"/>
      <c r="S175" s="71"/>
      <c r="T175" s="70"/>
      <c r="U175" s="70"/>
      <c r="V175" s="70"/>
      <c r="W175" s="302"/>
      <c r="Z175" s="70"/>
      <c r="AA175" s="70"/>
      <c r="AB175" s="70"/>
      <c r="AC175" s="70"/>
    </row>
    <row r="176" spans="1:35" ht="18" x14ac:dyDescent="0.2">
      <c r="A176" s="301"/>
      <c r="R176" s="70"/>
      <c r="S176" s="71"/>
      <c r="W176" s="302"/>
      <c r="X176" s="301"/>
      <c r="Y176" s="301"/>
      <c r="AE176" s="70"/>
    </row>
    <row r="177" spans="1:31" ht="18" x14ac:dyDescent="0.2">
      <c r="A177" s="301"/>
      <c r="R177" s="70"/>
      <c r="S177" s="71"/>
      <c r="W177" s="302"/>
      <c r="X177" s="301"/>
      <c r="Y177" s="301"/>
      <c r="AE177" s="70"/>
    </row>
    <row r="178" spans="1:31" x14ac:dyDescent="0.2">
      <c r="R178" s="70"/>
      <c r="S178" s="71"/>
      <c r="AE178" s="70"/>
    </row>
    <row r="179" spans="1:31" x14ac:dyDescent="0.2">
      <c r="R179" s="70"/>
      <c r="S179" s="71"/>
      <c r="AE179" s="70"/>
    </row>
    <row r="180" spans="1:31" x14ac:dyDescent="0.2">
      <c r="R180" s="70"/>
      <c r="S180" s="71"/>
      <c r="AE180" s="70"/>
    </row>
    <row r="181" spans="1:31" x14ac:dyDescent="0.2">
      <c r="R181" s="70"/>
      <c r="S181" s="71"/>
      <c r="AE181" s="70"/>
    </row>
    <row r="182" spans="1:31" x14ac:dyDescent="0.2">
      <c r="R182" s="70"/>
      <c r="S182" s="71"/>
      <c r="AE182" s="70"/>
    </row>
    <row r="183" spans="1:31" x14ac:dyDescent="0.2">
      <c r="R183" s="70"/>
      <c r="S183" s="71"/>
      <c r="AE183" s="70"/>
    </row>
    <row r="184" spans="1:31" x14ac:dyDescent="0.2">
      <c r="R184" s="70"/>
      <c r="S184" s="71"/>
      <c r="AE184" s="70"/>
    </row>
    <row r="185" spans="1:31" x14ac:dyDescent="0.2">
      <c r="R185" s="70"/>
      <c r="S185" s="71"/>
      <c r="AE185" s="70"/>
    </row>
    <row r="186" spans="1:31" x14ac:dyDescent="0.2">
      <c r="R186" s="70"/>
      <c r="S186" s="71"/>
      <c r="AE186" s="70"/>
    </row>
    <row r="187" spans="1:31" x14ac:dyDescent="0.2">
      <c r="R187" s="70"/>
      <c r="S187" s="71"/>
      <c r="AE187" s="70"/>
    </row>
    <row r="188" spans="1:31" x14ac:dyDescent="0.2">
      <c r="R188" s="70"/>
      <c r="S188" s="71"/>
      <c r="AE188" s="70"/>
    </row>
    <row r="189" spans="1:31" x14ac:dyDescent="0.2">
      <c r="R189" s="70"/>
      <c r="S189" s="71"/>
      <c r="AE189" s="70"/>
    </row>
    <row r="190" spans="1:31" x14ac:dyDescent="0.2">
      <c r="R190" s="70"/>
      <c r="S190" s="71"/>
      <c r="AE190" s="70"/>
    </row>
    <row r="191" spans="1:31" x14ac:dyDescent="0.2">
      <c r="R191" s="70"/>
      <c r="S191" s="71"/>
      <c r="AE191" s="70"/>
    </row>
    <row r="192" spans="1:31" x14ac:dyDescent="0.2">
      <c r="R192" s="70"/>
      <c r="S192" s="71"/>
      <c r="AE192" s="70"/>
    </row>
    <row r="193" spans="18:31" x14ac:dyDescent="0.2">
      <c r="R193" s="70"/>
      <c r="S193" s="71"/>
      <c r="AE193" s="70"/>
    </row>
    <row r="194" spans="18:31" x14ac:dyDescent="0.2">
      <c r="R194" s="70"/>
      <c r="S194" s="71"/>
      <c r="AE194" s="70"/>
    </row>
    <row r="195" spans="18:31" x14ac:dyDescent="0.2">
      <c r="R195" s="70"/>
      <c r="S195" s="71"/>
      <c r="AE195" s="70"/>
    </row>
    <row r="196" spans="18:31" x14ac:dyDescent="0.2">
      <c r="R196" s="70"/>
      <c r="S196" s="71"/>
      <c r="AE196" s="70"/>
    </row>
    <row r="197" spans="18:31" x14ac:dyDescent="0.2">
      <c r="R197" s="70"/>
      <c r="S197" s="71"/>
      <c r="AE197" s="70"/>
    </row>
    <row r="198" spans="18:31" x14ac:dyDescent="0.2">
      <c r="R198" s="70"/>
      <c r="S198" s="71"/>
      <c r="AE198" s="70"/>
    </row>
    <row r="199" spans="18:31" x14ac:dyDescent="0.2">
      <c r="R199" s="70"/>
      <c r="S199" s="71"/>
      <c r="AE199" s="70"/>
    </row>
    <row r="200" spans="18:31" x14ac:dyDescent="0.2">
      <c r="R200" s="70"/>
      <c r="S200" s="71"/>
      <c r="AE200" s="70"/>
    </row>
    <row r="201" spans="18:31" x14ac:dyDescent="0.2">
      <c r="R201" s="70"/>
      <c r="S201" s="71"/>
      <c r="AE201" s="70"/>
    </row>
    <row r="202" spans="18:31" x14ac:dyDescent="0.2">
      <c r="R202" s="70"/>
      <c r="S202" s="71"/>
      <c r="AE202" s="70"/>
    </row>
    <row r="203" spans="18:31" x14ac:dyDescent="0.2">
      <c r="R203" s="70"/>
      <c r="S203" s="71"/>
      <c r="AE203" s="70"/>
    </row>
    <row r="204" spans="18:31" x14ac:dyDescent="0.2">
      <c r="R204" s="70"/>
      <c r="S204" s="71"/>
      <c r="AE204" s="70"/>
    </row>
    <row r="205" spans="18:31" x14ac:dyDescent="0.2">
      <c r="R205" s="70"/>
      <c r="S205" s="71"/>
      <c r="AE205" s="70"/>
    </row>
    <row r="206" spans="18:31" x14ac:dyDescent="0.2">
      <c r="R206" s="70"/>
      <c r="S206" s="71"/>
      <c r="AE206" s="70"/>
    </row>
    <row r="207" spans="18:31" x14ac:dyDescent="0.2">
      <c r="R207" s="70"/>
      <c r="S207" s="71"/>
      <c r="AE207" s="70"/>
    </row>
    <row r="208" spans="18:31" x14ac:dyDescent="0.2">
      <c r="R208" s="70"/>
      <c r="S208" s="71"/>
      <c r="AE208" s="70"/>
    </row>
    <row r="209" spans="18:31" x14ac:dyDescent="0.2">
      <c r="R209" s="70"/>
      <c r="S209" s="71"/>
      <c r="AE209" s="70"/>
    </row>
    <row r="210" spans="18:31" x14ac:dyDescent="0.2">
      <c r="R210" s="70"/>
      <c r="S210" s="71"/>
      <c r="AE210" s="70"/>
    </row>
    <row r="211" spans="18:31" x14ac:dyDescent="0.2">
      <c r="R211" s="70"/>
      <c r="S211" s="71"/>
      <c r="AE211" s="70"/>
    </row>
    <row r="212" spans="18:31" x14ac:dyDescent="0.2">
      <c r="R212" s="70"/>
      <c r="S212" s="71"/>
      <c r="AE212" s="70"/>
    </row>
    <row r="213" spans="18:31" x14ac:dyDescent="0.2">
      <c r="R213" s="70"/>
      <c r="S213" s="71"/>
      <c r="AE213" s="70"/>
    </row>
    <row r="214" spans="18:31" x14ac:dyDescent="0.2">
      <c r="R214" s="70"/>
      <c r="S214" s="71"/>
      <c r="AE214" s="70"/>
    </row>
    <row r="215" spans="18:31" x14ac:dyDescent="0.2">
      <c r="R215" s="70"/>
      <c r="S215" s="71"/>
      <c r="AE215" s="70"/>
    </row>
    <row r="216" spans="18:31" x14ac:dyDescent="0.2">
      <c r="R216" s="70"/>
      <c r="S216" s="71"/>
      <c r="AE216" s="70"/>
    </row>
    <row r="217" spans="18:31" x14ac:dyDescent="0.2">
      <c r="R217" s="70"/>
      <c r="S217" s="71"/>
      <c r="AE217" s="70"/>
    </row>
    <row r="218" spans="18:31" x14ac:dyDescent="0.2">
      <c r="R218" s="70"/>
      <c r="S218" s="71"/>
      <c r="AE218" s="70"/>
    </row>
    <row r="219" spans="18:31" x14ac:dyDescent="0.2">
      <c r="R219" s="70"/>
      <c r="S219" s="71"/>
      <c r="AE219" s="70"/>
    </row>
    <row r="220" spans="18:31" x14ac:dyDescent="0.2">
      <c r="R220" s="70"/>
      <c r="S220" s="71"/>
      <c r="AE220" s="70"/>
    </row>
    <row r="221" spans="18:31" x14ac:dyDescent="0.2">
      <c r="R221" s="70"/>
      <c r="S221" s="71"/>
      <c r="AE221" s="70"/>
    </row>
    <row r="222" spans="18:31" x14ac:dyDescent="0.2">
      <c r="R222" s="70"/>
      <c r="S222" s="71"/>
      <c r="AE222" s="70"/>
    </row>
    <row r="223" spans="18:31" x14ac:dyDescent="0.2">
      <c r="R223" s="70"/>
      <c r="S223" s="71"/>
      <c r="AE223" s="70"/>
    </row>
    <row r="224" spans="18:31" x14ac:dyDescent="0.2">
      <c r="R224" s="70"/>
      <c r="S224" s="71"/>
      <c r="AE224" s="70"/>
    </row>
    <row r="225" spans="18:31" x14ac:dyDescent="0.2">
      <c r="R225" s="70"/>
      <c r="S225" s="71"/>
      <c r="AE225" s="70"/>
    </row>
    <row r="226" spans="18:31" x14ac:dyDescent="0.2">
      <c r="R226" s="70"/>
      <c r="S226" s="71"/>
      <c r="AE226" s="70"/>
    </row>
    <row r="227" spans="18:31" x14ac:dyDescent="0.2">
      <c r="R227" s="70"/>
      <c r="S227" s="71"/>
      <c r="AE227" s="70"/>
    </row>
    <row r="228" spans="18:31" x14ac:dyDescent="0.2">
      <c r="R228" s="70"/>
      <c r="S228" s="71"/>
      <c r="AE228" s="70"/>
    </row>
    <row r="229" spans="18:31" x14ac:dyDescent="0.2">
      <c r="R229" s="70"/>
      <c r="S229" s="71"/>
      <c r="AE229" s="70"/>
    </row>
    <row r="230" spans="18:31" x14ac:dyDescent="0.2">
      <c r="R230" s="70"/>
      <c r="S230" s="71"/>
      <c r="AE230" s="70"/>
    </row>
    <row r="231" spans="18:31" x14ac:dyDescent="0.2">
      <c r="R231" s="70"/>
      <c r="S231" s="71"/>
      <c r="AE231" s="70"/>
    </row>
    <row r="232" spans="18:31" x14ac:dyDescent="0.2">
      <c r="R232" s="70"/>
      <c r="S232" s="71"/>
      <c r="AE232" s="70"/>
    </row>
    <row r="233" spans="18:31" x14ac:dyDescent="0.2">
      <c r="R233" s="70"/>
      <c r="S233" s="71"/>
      <c r="AE233" s="70"/>
    </row>
    <row r="234" spans="18:31" x14ac:dyDescent="0.2">
      <c r="R234" s="70"/>
      <c r="S234" s="71"/>
      <c r="AE234" s="70"/>
    </row>
    <row r="235" spans="18:31" x14ac:dyDescent="0.2">
      <c r="R235" s="70"/>
      <c r="S235" s="71"/>
      <c r="AE235" s="70"/>
    </row>
    <row r="236" spans="18:31" x14ac:dyDescent="0.2">
      <c r="R236" s="70"/>
      <c r="S236" s="71"/>
      <c r="AE236" s="70"/>
    </row>
    <row r="237" spans="18:31" x14ac:dyDescent="0.2">
      <c r="R237" s="70"/>
      <c r="S237" s="71"/>
      <c r="AE237" s="70"/>
    </row>
    <row r="238" spans="18:31" x14ac:dyDescent="0.2">
      <c r="R238" s="70"/>
      <c r="S238" s="71"/>
      <c r="AE238" s="70"/>
    </row>
    <row r="239" spans="18:31" x14ac:dyDescent="0.2">
      <c r="R239" s="70"/>
      <c r="S239" s="71"/>
      <c r="AE239" s="70"/>
    </row>
    <row r="240" spans="18:31" x14ac:dyDescent="0.2">
      <c r="R240" s="70"/>
      <c r="S240" s="71"/>
      <c r="AE240" s="70"/>
    </row>
    <row r="241" spans="18:31" x14ac:dyDescent="0.2">
      <c r="R241" s="70"/>
      <c r="S241" s="71"/>
      <c r="AE241" s="70"/>
    </row>
    <row r="242" spans="18:31" x14ac:dyDescent="0.2">
      <c r="R242" s="70"/>
      <c r="S242" s="71"/>
      <c r="AE242" s="70"/>
    </row>
    <row r="243" spans="18:31" x14ac:dyDescent="0.2">
      <c r="R243" s="70"/>
      <c r="S243" s="71"/>
      <c r="AE243" s="70"/>
    </row>
    <row r="244" spans="18:31" x14ac:dyDescent="0.2">
      <c r="R244" s="70"/>
      <c r="S244" s="71"/>
      <c r="AE244" s="70"/>
    </row>
    <row r="245" spans="18:31" x14ac:dyDescent="0.2">
      <c r="R245" s="70"/>
      <c r="S245" s="71"/>
      <c r="AE245" s="70"/>
    </row>
    <row r="246" spans="18:31" x14ac:dyDescent="0.2">
      <c r="R246" s="70"/>
      <c r="S246" s="71"/>
      <c r="AE246" s="70"/>
    </row>
    <row r="247" spans="18:31" x14ac:dyDescent="0.2">
      <c r="R247" s="70"/>
      <c r="S247" s="71"/>
      <c r="AE247" s="70"/>
    </row>
    <row r="248" spans="18:31" x14ac:dyDescent="0.2">
      <c r="R248" s="70"/>
      <c r="S248" s="71"/>
      <c r="W248" s="306"/>
      <c r="AE248" s="70"/>
    </row>
    <row r="249" spans="18:31" x14ac:dyDescent="0.2">
      <c r="R249" s="70"/>
      <c r="S249" s="71"/>
      <c r="W249" s="306"/>
      <c r="AE249" s="70"/>
    </row>
    <row r="250" spans="18:31" x14ac:dyDescent="0.2">
      <c r="R250" s="70"/>
      <c r="S250" s="71"/>
      <c r="W250" s="306"/>
      <c r="AE250" s="70"/>
    </row>
    <row r="251" spans="18:31" x14ac:dyDescent="0.2">
      <c r="R251" s="70"/>
      <c r="S251" s="71"/>
      <c r="W251" s="306"/>
      <c r="AE251" s="70"/>
    </row>
    <row r="252" spans="18:31" x14ac:dyDescent="0.2">
      <c r="R252" s="70"/>
      <c r="S252" s="71"/>
      <c r="W252" s="306"/>
      <c r="AE252" s="70"/>
    </row>
    <row r="253" spans="18:31" x14ac:dyDescent="0.2">
      <c r="R253" s="70"/>
      <c r="S253" s="71"/>
      <c r="W253" s="306"/>
      <c r="AE253" s="70"/>
    </row>
    <row r="254" spans="18:31" x14ac:dyDescent="0.2">
      <c r="R254" s="70"/>
      <c r="S254" s="71"/>
      <c r="W254" s="306"/>
      <c r="AE254" s="70"/>
    </row>
    <row r="255" spans="18:31" x14ac:dyDescent="0.2">
      <c r="R255" s="70"/>
      <c r="S255" s="71"/>
      <c r="W255" s="306"/>
      <c r="AE255" s="70"/>
    </row>
    <row r="256" spans="18:31" x14ac:dyDescent="0.2">
      <c r="R256" s="70"/>
      <c r="S256" s="71"/>
      <c r="W256" s="306"/>
      <c r="AE256" s="70"/>
    </row>
    <row r="257" spans="16:31" x14ac:dyDescent="0.2">
      <c r="R257" s="70"/>
      <c r="S257" s="71"/>
      <c r="W257" s="306"/>
      <c r="AE257" s="70"/>
    </row>
    <row r="258" spans="16:31" x14ac:dyDescent="0.2">
      <c r="R258" s="70"/>
      <c r="S258" s="71"/>
      <c r="W258" s="306"/>
      <c r="AE258" s="70"/>
    </row>
    <row r="259" spans="16:31" x14ac:dyDescent="0.2">
      <c r="R259" s="70"/>
      <c r="S259" s="71"/>
      <c r="W259" s="306"/>
      <c r="AE259" s="70"/>
    </row>
    <row r="260" spans="16:31" x14ac:dyDescent="0.2">
      <c r="P260" s="123"/>
      <c r="Q260" s="307"/>
      <c r="R260" s="70"/>
      <c r="S260" s="71"/>
      <c r="W260" s="306"/>
      <c r="AE260" s="70"/>
    </row>
    <row r="261" spans="16:31" x14ac:dyDescent="0.2">
      <c r="P261" s="123"/>
      <c r="Q261" s="307"/>
      <c r="R261" s="70"/>
      <c r="S261" s="71"/>
      <c r="W261" s="306"/>
      <c r="AE261" s="70"/>
    </row>
    <row r="262" spans="16:31" x14ac:dyDescent="0.2">
      <c r="P262" s="123"/>
      <c r="Q262" s="307"/>
      <c r="R262" s="70"/>
      <c r="S262" s="71"/>
      <c r="W262" s="306"/>
      <c r="AE262" s="70"/>
    </row>
    <row r="263" spans="16:31" x14ac:dyDescent="0.2">
      <c r="P263" s="123"/>
      <c r="Q263" s="307"/>
      <c r="R263" s="70"/>
      <c r="S263" s="71"/>
      <c r="W263" s="306"/>
      <c r="AE263" s="70"/>
    </row>
    <row r="264" spans="16:31" x14ac:dyDescent="0.2">
      <c r="P264" s="123"/>
      <c r="Q264" s="307"/>
      <c r="R264" s="70"/>
      <c r="S264" s="71"/>
      <c r="W264" s="306"/>
      <c r="AE264" s="70"/>
    </row>
    <row r="265" spans="16:31" x14ac:dyDescent="0.2">
      <c r="P265" s="123"/>
      <c r="Q265" s="307"/>
      <c r="R265" s="70"/>
      <c r="S265" s="71"/>
      <c r="W265" s="306"/>
      <c r="AE265" s="70"/>
    </row>
    <row r="266" spans="16:31" x14ac:dyDescent="0.2">
      <c r="P266" s="123"/>
      <c r="Q266" s="307"/>
      <c r="R266" s="70"/>
      <c r="S266" s="71"/>
      <c r="W266" s="306"/>
      <c r="AE266" s="70"/>
    </row>
    <row r="267" spans="16:31" x14ac:dyDescent="0.2">
      <c r="P267" s="123"/>
      <c r="Q267" s="307"/>
      <c r="R267" s="70"/>
      <c r="S267" s="71"/>
      <c r="W267" s="306"/>
      <c r="AE267" s="70"/>
    </row>
    <row r="268" spans="16:31" x14ac:dyDescent="0.2">
      <c r="P268" s="123"/>
      <c r="Q268" s="307"/>
      <c r="R268" s="70"/>
      <c r="S268" s="71"/>
      <c r="W268" s="306"/>
      <c r="AE268" s="70"/>
    </row>
    <row r="269" spans="16:31" x14ac:dyDescent="0.2">
      <c r="P269" s="123"/>
      <c r="Q269" s="307"/>
      <c r="R269" s="70"/>
      <c r="S269" s="71"/>
      <c r="W269" s="306"/>
      <c r="AE269" s="70"/>
    </row>
    <row r="270" spans="16:31" x14ac:dyDescent="0.2">
      <c r="P270" s="123"/>
      <c r="Q270" s="307"/>
      <c r="R270" s="70"/>
      <c r="S270" s="71"/>
      <c r="W270" s="306"/>
      <c r="AE270" s="70"/>
    </row>
    <row r="271" spans="16:31" x14ac:dyDescent="0.2">
      <c r="P271" s="123"/>
      <c r="Q271" s="307"/>
      <c r="R271" s="70"/>
      <c r="S271" s="71"/>
      <c r="W271" s="306"/>
      <c r="AE271" s="70"/>
    </row>
    <row r="272" spans="16:31" x14ac:dyDescent="0.2">
      <c r="P272" s="123"/>
      <c r="Q272" s="307"/>
      <c r="R272" s="70"/>
      <c r="S272" s="71"/>
      <c r="W272" s="306"/>
      <c r="AE272" s="70"/>
    </row>
    <row r="273" spans="16:31" x14ac:dyDescent="0.2">
      <c r="P273" s="123"/>
      <c r="Q273" s="307"/>
      <c r="R273" s="70"/>
      <c r="S273" s="71"/>
      <c r="W273" s="306"/>
      <c r="AE273" s="70"/>
    </row>
    <row r="274" spans="16:31" x14ac:dyDescent="0.2">
      <c r="P274" s="123"/>
      <c r="Q274" s="307"/>
      <c r="R274" s="70"/>
      <c r="S274" s="71"/>
      <c r="W274" s="306"/>
      <c r="AE274" s="70"/>
    </row>
    <row r="275" spans="16:31" x14ac:dyDescent="0.2">
      <c r="P275" s="123"/>
      <c r="Q275" s="307"/>
      <c r="R275" s="70"/>
      <c r="S275" s="71"/>
      <c r="W275" s="306"/>
      <c r="AE275" s="70"/>
    </row>
    <row r="276" spans="16:31" x14ac:dyDescent="0.2">
      <c r="P276" s="123"/>
      <c r="Q276" s="307"/>
      <c r="R276" s="70"/>
      <c r="S276" s="71"/>
      <c r="W276" s="306"/>
      <c r="AE276" s="70"/>
    </row>
    <row r="277" spans="16:31" x14ac:dyDescent="0.2">
      <c r="P277" s="123"/>
      <c r="Q277" s="307"/>
      <c r="R277" s="70"/>
      <c r="S277" s="71"/>
      <c r="W277" s="306"/>
      <c r="AE277" s="70"/>
    </row>
    <row r="278" spans="16:31" x14ac:dyDescent="0.2">
      <c r="P278" s="123"/>
      <c r="Q278" s="307"/>
      <c r="R278" s="70"/>
      <c r="S278" s="71"/>
      <c r="W278" s="306"/>
      <c r="AE278" s="70"/>
    </row>
    <row r="279" spans="16:31" x14ac:dyDescent="0.2">
      <c r="P279" s="123"/>
      <c r="Q279" s="307"/>
      <c r="R279" s="70"/>
      <c r="S279" s="71"/>
      <c r="W279" s="306"/>
      <c r="AE279" s="70"/>
    </row>
    <row r="280" spans="16:31" x14ac:dyDescent="0.2">
      <c r="P280" s="123"/>
      <c r="Q280" s="307"/>
      <c r="R280" s="70"/>
      <c r="S280" s="71"/>
      <c r="W280" s="306"/>
      <c r="AE280" s="70"/>
    </row>
    <row r="281" spans="16:31" x14ac:dyDescent="0.2">
      <c r="P281" s="123"/>
      <c r="Q281" s="307"/>
      <c r="R281" s="70"/>
      <c r="S281" s="71"/>
      <c r="W281" s="306"/>
      <c r="AE281" s="70"/>
    </row>
    <row r="282" spans="16:31" x14ac:dyDescent="0.2">
      <c r="P282" s="123"/>
      <c r="Q282" s="307"/>
      <c r="R282" s="70"/>
      <c r="S282" s="71"/>
      <c r="W282" s="306"/>
      <c r="AE282" s="70"/>
    </row>
    <row r="283" spans="16:31" x14ac:dyDescent="0.2">
      <c r="P283" s="123"/>
      <c r="Q283" s="307"/>
      <c r="R283" s="70"/>
      <c r="S283" s="71"/>
      <c r="W283" s="306"/>
      <c r="AE283" s="70"/>
    </row>
    <row r="284" spans="16:31" x14ac:dyDescent="0.2">
      <c r="P284" s="123"/>
      <c r="Q284" s="307"/>
      <c r="R284" s="70"/>
      <c r="S284" s="71"/>
      <c r="W284" s="306"/>
      <c r="AE284" s="70"/>
    </row>
    <row r="285" spans="16:31" x14ac:dyDescent="0.2">
      <c r="P285" s="123"/>
      <c r="Q285" s="307"/>
      <c r="R285" s="70"/>
      <c r="S285" s="71"/>
      <c r="W285" s="306"/>
      <c r="AE285" s="70"/>
    </row>
    <row r="286" spans="16:31" x14ac:dyDescent="0.2">
      <c r="P286" s="123"/>
      <c r="Q286" s="307"/>
      <c r="R286" s="70"/>
      <c r="S286" s="71"/>
      <c r="W286" s="306"/>
      <c r="AE286" s="70"/>
    </row>
    <row r="287" spans="16:31" x14ac:dyDescent="0.2">
      <c r="P287" s="123"/>
      <c r="Q287" s="307"/>
      <c r="R287" s="70"/>
      <c r="S287" s="71"/>
      <c r="W287" s="306"/>
      <c r="AE287" s="70"/>
    </row>
    <row r="288" spans="16:31" x14ac:dyDescent="0.2">
      <c r="P288" s="123"/>
      <c r="Q288" s="307"/>
      <c r="R288" s="70"/>
      <c r="S288" s="71"/>
      <c r="W288" s="306"/>
      <c r="AE288" s="70"/>
    </row>
    <row r="289" spans="16:31" x14ac:dyDescent="0.2">
      <c r="P289" s="123"/>
      <c r="Q289" s="307"/>
      <c r="R289" s="70"/>
      <c r="S289" s="71"/>
      <c r="W289" s="306"/>
      <c r="AE289" s="70"/>
    </row>
    <row r="290" spans="16:31" x14ac:dyDescent="0.2">
      <c r="P290" s="123"/>
      <c r="Q290" s="307"/>
      <c r="R290" s="70"/>
      <c r="S290" s="71"/>
      <c r="W290" s="306"/>
      <c r="AE290" s="70"/>
    </row>
    <row r="291" spans="16:31" x14ac:dyDescent="0.2">
      <c r="P291" s="123"/>
      <c r="Q291" s="307"/>
      <c r="R291" s="70"/>
      <c r="S291" s="71"/>
      <c r="W291" s="306"/>
      <c r="AE291" s="70"/>
    </row>
    <row r="292" spans="16:31" x14ac:dyDescent="0.2">
      <c r="P292" s="123"/>
      <c r="Q292" s="307"/>
      <c r="R292" s="70"/>
      <c r="S292" s="71"/>
      <c r="W292" s="306"/>
      <c r="AE292" s="70"/>
    </row>
    <row r="293" spans="16:31" x14ac:dyDescent="0.2">
      <c r="P293" s="123"/>
      <c r="Q293" s="307"/>
      <c r="R293" s="70"/>
      <c r="S293" s="71"/>
      <c r="W293" s="306"/>
      <c r="AE293" s="70"/>
    </row>
    <row r="294" spans="16:31" x14ac:dyDescent="0.2">
      <c r="P294" s="123"/>
      <c r="Q294" s="307"/>
      <c r="R294" s="70"/>
      <c r="S294" s="71"/>
      <c r="W294" s="306"/>
      <c r="AE294" s="70"/>
    </row>
    <row r="295" spans="16:31" x14ac:dyDescent="0.2">
      <c r="P295" s="123"/>
      <c r="Q295" s="307"/>
      <c r="R295" s="70"/>
      <c r="S295" s="71"/>
      <c r="W295" s="306"/>
      <c r="AE295" s="70"/>
    </row>
    <row r="296" spans="16:31" x14ac:dyDescent="0.2">
      <c r="P296" s="123"/>
      <c r="Q296" s="307"/>
      <c r="R296" s="70"/>
      <c r="S296" s="71"/>
      <c r="W296" s="306"/>
      <c r="AE296" s="70"/>
    </row>
    <row r="297" spans="16:31" x14ac:dyDescent="0.2">
      <c r="P297" s="123"/>
      <c r="Q297" s="307"/>
      <c r="R297" s="70"/>
      <c r="S297" s="71"/>
      <c r="W297" s="306"/>
      <c r="AE297" s="70"/>
    </row>
    <row r="298" spans="16:31" x14ac:dyDescent="0.2">
      <c r="P298" s="123"/>
      <c r="Q298" s="307"/>
      <c r="R298" s="70"/>
      <c r="S298" s="71"/>
      <c r="W298" s="306"/>
      <c r="AE298" s="70"/>
    </row>
    <row r="299" spans="16:31" x14ac:dyDescent="0.2">
      <c r="P299" s="123"/>
      <c r="Q299" s="307"/>
      <c r="R299" s="70"/>
      <c r="S299" s="71"/>
      <c r="W299" s="306"/>
      <c r="AE299" s="70"/>
    </row>
    <row r="300" spans="16:31" x14ac:dyDescent="0.2">
      <c r="P300" s="123"/>
      <c r="Q300" s="307"/>
      <c r="R300" s="70"/>
      <c r="S300" s="71"/>
      <c r="W300" s="306"/>
      <c r="AE300" s="70"/>
    </row>
    <row r="301" spans="16:31" x14ac:dyDescent="0.2">
      <c r="P301" s="123"/>
      <c r="Q301" s="307"/>
      <c r="R301" s="70"/>
      <c r="S301" s="71"/>
      <c r="W301" s="306"/>
      <c r="AE301" s="70"/>
    </row>
    <row r="302" spans="16:31" x14ac:dyDescent="0.2">
      <c r="P302" s="123"/>
      <c r="Q302" s="307"/>
      <c r="R302" s="70"/>
      <c r="S302" s="71"/>
      <c r="W302" s="306"/>
      <c r="AE302" s="70"/>
    </row>
    <row r="303" spans="16:31" x14ac:dyDescent="0.2">
      <c r="P303" s="123"/>
      <c r="Q303" s="307"/>
      <c r="R303" s="70"/>
      <c r="S303" s="71"/>
      <c r="W303" s="306"/>
      <c r="AE303" s="70"/>
    </row>
    <row r="304" spans="16:31" x14ac:dyDescent="0.2">
      <c r="P304" s="123"/>
      <c r="Q304" s="307"/>
      <c r="R304" s="70"/>
      <c r="S304" s="71"/>
      <c r="W304" s="306"/>
      <c r="AE304" s="70"/>
    </row>
    <row r="305" spans="16:31" x14ac:dyDescent="0.2">
      <c r="P305" s="123"/>
      <c r="Q305" s="307"/>
      <c r="R305" s="70"/>
      <c r="S305" s="110"/>
      <c r="T305" s="104"/>
      <c r="U305" s="104"/>
      <c r="W305" s="306"/>
      <c r="AE305" s="70"/>
    </row>
    <row r="306" spans="16:31" x14ac:dyDescent="0.2">
      <c r="P306" s="123"/>
      <c r="Q306" s="307"/>
      <c r="R306" s="70"/>
      <c r="S306" s="110"/>
      <c r="T306" s="104"/>
      <c r="U306" s="104"/>
      <c r="W306" s="306"/>
      <c r="AE306" s="70"/>
    </row>
    <row r="307" spans="16:31" x14ac:dyDescent="0.2">
      <c r="P307" s="123"/>
      <c r="Q307" s="307"/>
      <c r="R307" s="70"/>
      <c r="S307" s="110"/>
      <c r="T307" s="104"/>
      <c r="U307" s="104"/>
      <c r="W307" s="306"/>
      <c r="AE307" s="70"/>
    </row>
    <row r="308" spans="16:31" x14ac:dyDescent="0.2">
      <c r="P308" s="123"/>
      <c r="Q308" s="307"/>
      <c r="R308" s="70"/>
      <c r="S308" s="110"/>
      <c r="T308" s="104"/>
      <c r="U308" s="104"/>
      <c r="W308" s="306"/>
      <c r="AE308" s="70"/>
    </row>
    <row r="309" spans="16:31" x14ac:dyDescent="0.2">
      <c r="P309" s="123"/>
      <c r="Q309" s="307"/>
      <c r="R309" s="70"/>
      <c r="S309" s="110"/>
      <c r="T309" s="104"/>
      <c r="U309" s="104"/>
      <c r="W309" s="306"/>
      <c r="AE309" s="70"/>
    </row>
    <row r="310" spans="16:31" x14ac:dyDescent="0.2">
      <c r="P310" s="123"/>
      <c r="Q310" s="307"/>
      <c r="R310" s="70"/>
      <c r="S310" s="110"/>
      <c r="T310" s="104"/>
      <c r="U310" s="104"/>
      <c r="W310" s="306"/>
      <c r="AE310" s="70"/>
    </row>
    <row r="311" spans="16:31" x14ac:dyDescent="0.2">
      <c r="P311" s="123"/>
      <c r="Q311" s="307"/>
      <c r="R311" s="70"/>
      <c r="S311" s="110"/>
      <c r="T311" s="104"/>
      <c r="U311" s="104"/>
      <c r="W311" s="306"/>
      <c r="AE311" s="70"/>
    </row>
    <row r="312" spans="16:31" x14ac:dyDescent="0.2">
      <c r="P312" s="123"/>
      <c r="Q312" s="307"/>
      <c r="R312" s="70"/>
      <c r="S312" s="110"/>
      <c r="T312" s="105"/>
      <c r="U312" s="146"/>
      <c r="W312" s="306"/>
      <c r="AE312" s="70"/>
    </row>
    <row r="313" spans="16:31" x14ac:dyDescent="0.2">
      <c r="P313" s="123"/>
      <c r="Q313" s="307"/>
      <c r="R313" s="70"/>
      <c r="S313" s="110"/>
      <c r="T313" s="105"/>
      <c r="U313" s="146"/>
      <c r="W313" s="306"/>
      <c r="AE313" s="70"/>
    </row>
    <row r="314" spans="16:31" x14ac:dyDescent="0.2">
      <c r="P314" s="123"/>
      <c r="Q314" s="307"/>
      <c r="R314" s="70"/>
      <c r="S314" s="110"/>
      <c r="T314" s="105"/>
      <c r="U314" s="105"/>
      <c r="W314" s="306"/>
      <c r="AE314" s="70"/>
    </row>
    <row r="315" spans="16:31" x14ac:dyDescent="0.2">
      <c r="P315" s="123"/>
      <c r="Q315" s="307"/>
      <c r="R315" s="70"/>
      <c r="S315" s="110"/>
      <c r="T315" s="105"/>
      <c r="U315" s="105"/>
      <c r="W315" s="306"/>
      <c r="AE315" s="70"/>
    </row>
    <row r="316" spans="16:31" x14ac:dyDescent="0.2">
      <c r="P316" s="123"/>
      <c r="Q316" s="307"/>
      <c r="R316" s="70"/>
      <c r="S316" s="110"/>
      <c r="T316" s="105"/>
      <c r="U316" s="105"/>
      <c r="W316" s="306"/>
      <c r="AE316" s="70"/>
    </row>
    <row r="317" spans="16:31" x14ac:dyDescent="0.2">
      <c r="P317" s="123"/>
      <c r="Q317" s="307"/>
      <c r="R317" s="70"/>
      <c r="S317" s="110"/>
      <c r="T317" s="105"/>
      <c r="U317" s="105"/>
      <c r="W317" s="306"/>
      <c r="AE317" s="70"/>
    </row>
    <row r="318" spans="16:31" x14ac:dyDescent="0.2">
      <c r="P318" s="123"/>
      <c r="Q318" s="307"/>
      <c r="R318" s="70"/>
      <c r="S318" s="110"/>
      <c r="T318" s="105"/>
      <c r="U318" s="105"/>
      <c r="W318" s="306"/>
      <c r="AE318" s="70"/>
    </row>
    <row r="319" spans="16:31" x14ac:dyDescent="0.2">
      <c r="P319" s="123"/>
      <c r="Q319" s="307"/>
      <c r="R319" s="70"/>
      <c r="S319" s="110"/>
      <c r="T319" s="105"/>
      <c r="U319" s="105"/>
      <c r="W319" s="306"/>
      <c r="AE319" s="70"/>
    </row>
    <row r="320" spans="16:31" x14ac:dyDescent="0.2">
      <c r="P320" s="123"/>
      <c r="Q320" s="307"/>
      <c r="R320" s="70"/>
      <c r="S320" s="110"/>
      <c r="T320" s="105"/>
      <c r="U320" s="105"/>
      <c r="W320" s="306"/>
      <c r="AE320" s="70"/>
    </row>
    <row r="321" spans="16:31" x14ac:dyDescent="0.2">
      <c r="P321" s="123"/>
      <c r="Q321" s="307"/>
      <c r="R321" s="70"/>
      <c r="S321" s="110"/>
      <c r="T321" s="105"/>
      <c r="U321" s="105"/>
      <c r="W321" s="308"/>
      <c r="X321" s="104"/>
      <c r="Y321" s="104"/>
      <c r="AE321" s="70"/>
    </row>
    <row r="322" spans="16:31" x14ac:dyDescent="0.2">
      <c r="P322" s="123"/>
      <c r="Q322" s="307"/>
      <c r="R322" s="70"/>
      <c r="S322" s="110"/>
      <c r="T322" s="105"/>
      <c r="U322" s="105"/>
      <c r="W322" s="308"/>
      <c r="X322" s="104"/>
      <c r="Y322" s="104"/>
      <c r="AE322" s="70"/>
    </row>
    <row r="323" spans="16:31" x14ac:dyDescent="0.2">
      <c r="P323" s="123"/>
      <c r="Q323" s="307"/>
      <c r="R323" s="70"/>
      <c r="S323" s="110"/>
      <c r="T323" s="105"/>
      <c r="U323" s="105"/>
      <c r="W323" s="308"/>
      <c r="X323" s="104"/>
      <c r="Y323" s="104"/>
      <c r="AE323" s="70"/>
    </row>
    <row r="324" spans="16:31" x14ac:dyDescent="0.2">
      <c r="P324" s="123"/>
      <c r="Q324" s="307"/>
      <c r="R324" s="70"/>
      <c r="S324" s="110"/>
      <c r="T324" s="105"/>
      <c r="U324" s="105"/>
      <c r="W324" s="308"/>
      <c r="X324" s="104"/>
      <c r="Y324" s="104"/>
      <c r="AE324" s="70"/>
    </row>
    <row r="325" spans="16:31" x14ac:dyDescent="0.2">
      <c r="P325" s="123"/>
      <c r="Q325" s="307"/>
      <c r="R325" s="70"/>
      <c r="S325" s="110"/>
      <c r="T325" s="105"/>
      <c r="U325" s="265"/>
      <c r="W325" s="308"/>
      <c r="X325" s="104"/>
      <c r="Y325" s="104"/>
      <c r="AE325" s="70"/>
    </row>
    <row r="326" spans="16:31" x14ac:dyDescent="0.2">
      <c r="P326" s="123"/>
      <c r="Q326" s="307"/>
      <c r="R326" s="70"/>
      <c r="S326" s="110"/>
      <c r="T326" s="105"/>
      <c r="U326" s="265"/>
      <c r="W326" s="308"/>
      <c r="X326" s="104"/>
      <c r="Y326" s="104"/>
      <c r="AE326" s="70"/>
    </row>
    <row r="327" spans="16:31" x14ac:dyDescent="0.2">
      <c r="P327" s="123"/>
      <c r="Q327" s="307"/>
      <c r="R327" s="70"/>
      <c r="S327" s="110"/>
      <c r="T327" s="105"/>
      <c r="U327" s="105"/>
      <c r="W327" s="308"/>
      <c r="X327" s="104"/>
      <c r="Y327" s="104"/>
      <c r="AE327" s="70"/>
    </row>
    <row r="328" spans="16:31" x14ac:dyDescent="0.2">
      <c r="P328" s="123"/>
      <c r="Q328" s="307"/>
      <c r="R328" s="70"/>
      <c r="S328" s="110"/>
      <c r="T328" s="105"/>
      <c r="U328" s="146"/>
      <c r="W328" s="308"/>
      <c r="X328" s="105"/>
      <c r="Y328" s="105"/>
      <c r="AE328" s="70"/>
    </row>
    <row r="329" spans="16:31" x14ac:dyDescent="0.2">
      <c r="P329" s="123"/>
      <c r="Q329" s="307"/>
      <c r="R329" s="70"/>
      <c r="S329" s="110"/>
      <c r="T329" s="105"/>
      <c r="U329" s="105"/>
      <c r="W329" s="308"/>
      <c r="X329" s="105"/>
      <c r="Y329" s="105"/>
      <c r="AE329" s="70"/>
    </row>
    <row r="330" spans="16:31" x14ac:dyDescent="0.2">
      <c r="P330" s="123"/>
      <c r="Q330" s="307"/>
      <c r="R330" s="70"/>
      <c r="S330" s="110"/>
      <c r="T330" s="105"/>
      <c r="U330" s="105"/>
      <c r="W330" s="308"/>
      <c r="X330" s="105"/>
      <c r="Y330" s="105"/>
      <c r="AE330" s="70"/>
    </row>
    <row r="331" spans="16:31" x14ac:dyDescent="0.2">
      <c r="P331" s="123"/>
      <c r="Q331" s="307"/>
      <c r="R331" s="70"/>
      <c r="S331" s="110"/>
      <c r="T331" s="105"/>
      <c r="U331" s="105"/>
      <c r="W331" s="308"/>
      <c r="X331" s="105"/>
      <c r="Y331" s="105"/>
      <c r="AE331" s="70"/>
    </row>
    <row r="332" spans="16:31" x14ac:dyDescent="0.2">
      <c r="P332" s="123"/>
      <c r="Q332" s="307"/>
      <c r="R332" s="70"/>
      <c r="S332" s="309"/>
      <c r="T332" s="105"/>
      <c r="U332" s="105"/>
      <c r="W332" s="308"/>
      <c r="X332" s="105"/>
      <c r="Y332" s="105"/>
      <c r="AE332" s="70"/>
    </row>
    <row r="333" spans="16:31" x14ac:dyDescent="0.2">
      <c r="P333" s="123"/>
      <c r="Q333" s="307"/>
      <c r="R333" s="70"/>
      <c r="S333" s="309"/>
      <c r="T333" s="105"/>
      <c r="U333" s="105"/>
      <c r="W333" s="308"/>
      <c r="X333" s="105"/>
      <c r="Y333" s="105"/>
      <c r="AE333" s="70"/>
    </row>
    <row r="334" spans="16:31" x14ac:dyDescent="0.2">
      <c r="P334" s="123"/>
      <c r="Q334" s="307"/>
      <c r="R334" s="70"/>
      <c r="S334" s="308"/>
      <c r="T334" s="104"/>
      <c r="U334" s="104"/>
      <c r="W334" s="308"/>
      <c r="X334" s="105"/>
      <c r="Y334" s="105"/>
      <c r="AE334" s="70"/>
    </row>
    <row r="335" spans="16:31" x14ac:dyDescent="0.2">
      <c r="P335" s="123"/>
      <c r="Q335" s="307"/>
      <c r="R335" s="70"/>
      <c r="S335" s="308"/>
      <c r="T335" s="104"/>
      <c r="U335" s="104"/>
      <c r="W335" s="308"/>
      <c r="X335" s="105"/>
      <c r="Y335" s="105"/>
      <c r="AE335" s="70"/>
    </row>
    <row r="336" spans="16:31" x14ac:dyDescent="0.2">
      <c r="P336" s="123"/>
      <c r="Q336" s="307"/>
      <c r="R336" s="70"/>
      <c r="S336" s="308"/>
      <c r="T336" s="104"/>
      <c r="U336" s="104"/>
      <c r="W336" s="308"/>
      <c r="X336" s="105"/>
      <c r="Y336" s="105"/>
      <c r="AE336" s="70"/>
    </row>
    <row r="337" spans="16:49" x14ac:dyDescent="0.2">
      <c r="P337" s="123"/>
      <c r="Q337" s="307"/>
      <c r="R337" s="70"/>
      <c r="S337" s="308"/>
      <c r="T337" s="104"/>
      <c r="U337" s="104"/>
      <c r="V337" s="104"/>
      <c r="W337" s="308"/>
      <c r="X337" s="105"/>
      <c r="Y337" s="105"/>
      <c r="AE337" s="70"/>
    </row>
    <row r="338" spans="16:49" x14ac:dyDescent="0.2">
      <c r="P338" s="123"/>
      <c r="Q338" s="307"/>
      <c r="R338" s="70"/>
      <c r="S338" s="308"/>
      <c r="T338" s="104"/>
      <c r="U338" s="104"/>
      <c r="V338" s="104"/>
      <c r="W338" s="308"/>
      <c r="X338" s="105"/>
      <c r="Y338" s="105"/>
      <c r="Z338" s="104"/>
      <c r="AA338" s="104"/>
      <c r="AC338" s="104"/>
      <c r="AE338" s="70"/>
    </row>
    <row r="339" spans="16:49" x14ac:dyDescent="0.2">
      <c r="P339" s="123"/>
      <c r="Q339" s="307"/>
      <c r="R339" s="70"/>
      <c r="S339" s="308"/>
      <c r="T339" s="104"/>
      <c r="U339" s="104"/>
      <c r="V339" s="104"/>
      <c r="W339" s="308"/>
      <c r="X339" s="105"/>
      <c r="Y339" s="105"/>
      <c r="Z339" s="104"/>
      <c r="AA339" s="104"/>
      <c r="AB339" s="104"/>
      <c r="AC339" s="104"/>
      <c r="AE339" s="70"/>
    </row>
    <row r="340" spans="16:49" x14ac:dyDescent="0.2">
      <c r="P340" s="123"/>
      <c r="Q340" s="307"/>
      <c r="R340" s="70"/>
      <c r="S340" s="308"/>
      <c r="T340" s="104"/>
      <c r="U340" s="104"/>
      <c r="V340" s="104"/>
      <c r="W340" s="308"/>
      <c r="X340" s="105"/>
      <c r="Y340" s="105"/>
      <c r="Z340" s="104"/>
      <c r="AA340" s="104"/>
      <c r="AB340" s="104"/>
      <c r="AC340" s="104"/>
      <c r="AD340" s="104"/>
      <c r="AE340" s="104"/>
      <c r="AF340" s="104"/>
      <c r="AG340" s="104"/>
      <c r="AH340" s="104"/>
      <c r="AI340" s="104"/>
      <c r="AJ340" s="104"/>
      <c r="AK340" s="104"/>
      <c r="AL340" s="104"/>
      <c r="AM340" s="104"/>
      <c r="AN340" s="104"/>
      <c r="AO340" s="104"/>
      <c r="AP340" s="104"/>
      <c r="AQ340" s="104"/>
      <c r="AR340" s="104"/>
      <c r="AS340" s="104"/>
      <c r="AT340" s="104"/>
      <c r="AU340" s="104"/>
      <c r="AV340" s="104"/>
      <c r="AW340" s="104"/>
    </row>
    <row r="341" spans="16:49" x14ac:dyDescent="0.2">
      <c r="P341" s="123"/>
      <c r="Q341" s="307"/>
      <c r="R341" s="70"/>
      <c r="S341" s="308"/>
      <c r="T341" s="104"/>
      <c r="U341" s="104"/>
      <c r="V341" s="104"/>
      <c r="W341" s="308"/>
      <c r="X341" s="105"/>
      <c r="Y341" s="105"/>
      <c r="Z341" s="104"/>
      <c r="AA341" s="104"/>
      <c r="AB341" s="104"/>
      <c r="AC341" s="104"/>
      <c r="AD341" s="104"/>
      <c r="AE341" s="104"/>
      <c r="AF341" s="104"/>
      <c r="AG341" s="104"/>
      <c r="AH341" s="104"/>
      <c r="AI341" s="104"/>
      <c r="AJ341" s="104"/>
      <c r="AK341" s="104"/>
      <c r="AL341" s="104"/>
      <c r="AM341" s="104"/>
      <c r="AN341" s="104"/>
      <c r="AO341" s="104"/>
      <c r="AP341" s="104"/>
      <c r="AQ341" s="104"/>
      <c r="AR341" s="104"/>
      <c r="AS341" s="104"/>
      <c r="AT341" s="104"/>
      <c r="AU341" s="104"/>
      <c r="AV341" s="104"/>
      <c r="AW341" s="104"/>
    </row>
    <row r="342" spans="16:49" x14ac:dyDescent="0.2">
      <c r="P342" s="123"/>
      <c r="Q342" s="307"/>
      <c r="R342" s="310"/>
      <c r="S342" s="308"/>
      <c r="T342" s="104"/>
      <c r="U342" s="104"/>
      <c r="V342" s="104"/>
      <c r="W342" s="308"/>
      <c r="X342" s="105"/>
      <c r="Y342" s="105"/>
      <c r="Z342" s="104"/>
      <c r="AA342" s="104"/>
      <c r="AB342" s="104"/>
      <c r="AC342" s="104"/>
      <c r="AD342" s="104"/>
      <c r="AE342" s="104"/>
      <c r="AF342" s="104"/>
      <c r="AG342" s="104"/>
      <c r="AH342" s="104"/>
      <c r="AI342" s="104"/>
      <c r="AJ342" s="104"/>
      <c r="AK342" s="104"/>
      <c r="AL342" s="104"/>
      <c r="AM342" s="104"/>
      <c r="AN342" s="104"/>
      <c r="AO342" s="104"/>
      <c r="AP342" s="104"/>
      <c r="AQ342" s="104"/>
      <c r="AR342" s="104"/>
      <c r="AS342" s="104"/>
      <c r="AT342" s="104"/>
      <c r="AU342" s="104"/>
      <c r="AV342" s="104"/>
      <c r="AW342" s="104"/>
    </row>
    <row r="343" spans="16:49" x14ac:dyDescent="0.2">
      <c r="P343" s="123"/>
      <c r="Q343" s="307"/>
      <c r="R343" s="310"/>
      <c r="S343" s="308"/>
      <c r="T343" s="104"/>
      <c r="U343" s="104"/>
      <c r="V343" s="104"/>
      <c r="W343" s="308"/>
      <c r="X343" s="105"/>
      <c r="Y343" s="105"/>
      <c r="Z343" s="104"/>
      <c r="AA343" s="104"/>
      <c r="AB343" s="104"/>
      <c r="AC343" s="104"/>
      <c r="AD343" s="104"/>
      <c r="AE343" s="104"/>
      <c r="AF343" s="104"/>
      <c r="AG343" s="104"/>
      <c r="AH343" s="104"/>
      <c r="AI343" s="104"/>
      <c r="AJ343" s="104"/>
      <c r="AK343" s="104"/>
      <c r="AL343" s="104"/>
      <c r="AM343" s="104"/>
      <c r="AN343" s="104"/>
      <c r="AO343" s="104"/>
      <c r="AP343" s="104"/>
      <c r="AQ343" s="104"/>
      <c r="AR343" s="104"/>
      <c r="AS343" s="104"/>
      <c r="AT343" s="104"/>
      <c r="AU343" s="104"/>
      <c r="AV343" s="104"/>
      <c r="AW343" s="104"/>
    </row>
    <row r="344" spans="16:49" x14ac:dyDescent="0.2">
      <c r="P344" s="123"/>
      <c r="Q344" s="307"/>
      <c r="R344" s="310"/>
      <c r="S344" s="308"/>
      <c r="T344" s="104"/>
      <c r="U344" s="104"/>
      <c r="V344" s="105"/>
      <c r="W344" s="308"/>
      <c r="X344" s="105"/>
      <c r="Y344" s="105"/>
      <c r="Z344" s="104"/>
      <c r="AA344" s="104"/>
      <c r="AB344" s="104"/>
      <c r="AC344" s="104"/>
      <c r="AD344" s="104"/>
      <c r="AE344" s="104"/>
      <c r="AF344" s="104"/>
      <c r="AG344" s="104"/>
      <c r="AH344" s="104"/>
      <c r="AI344" s="104"/>
      <c r="AJ344" s="104"/>
      <c r="AK344" s="104"/>
      <c r="AL344" s="104"/>
      <c r="AM344" s="104"/>
      <c r="AN344" s="104"/>
      <c r="AO344" s="104"/>
      <c r="AP344" s="104"/>
      <c r="AQ344" s="104"/>
      <c r="AR344" s="104"/>
      <c r="AS344" s="104"/>
      <c r="AT344" s="104"/>
      <c r="AU344" s="104"/>
      <c r="AV344" s="104"/>
      <c r="AW344" s="104"/>
    </row>
    <row r="345" spans="16:49" x14ac:dyDescent="0.2">
      <c r="P345" s="123"/>
      <c r="Q345" s="307"/>
      <c r="R345" s="310"/>
      <c r="S345" s="308"/>
      <c r="T345" s="104"/>
      <c r="U345" s="104"/>
      <c r="V345" s="105"/>
      <c r="W345" s="308"/>
      <c r="X345" s="105"/>
      <c r="Y345" s="105"/>
      <c r="Z345" s="105"/>
      <c r="AA345" s="104"/>
      <c r="AB345" s="104"/>
      <c r="AC345" s="104"/>
      <c r="AD345" s="104"/>
      <c r="AE345" s="104"/>
      <c r="AF345" s="104"/>
      <c r="AG345" s="104"/>
      <c r="AH345" s="104"/>
      <c r="AI345" s="104"/>
      <c r="AJ345" s="104"/>
      <c r="AK345" s="104"/>
      <c r="AL345" s="104"/>
      <c r="AM345" s="104"/>
      <c r="AN345" s="104"/>
      <c r="AO345" s="104"/>
      <c r="AP345" s="104"/>
      <c r="AQ345" s="104"/>
      <c r="AR345" s="104"/>
      <c r="AS345" s="104"/>
      <c r="AT345" s="104"/>
      <c r="AU345" s="104"/>
      <c r="AV345" s="104"/>
      <c r="AW345" s="104"/>
    </row>
    <row r="346" spans="16:49" x14ac:dyDescent="0.2">
      <c r="P346" s="123"/>
      <c r="Q346" s="307"/>
      <c r="R346" s="310"/>
      <c r="S346" s="308"/>
      <c r="T346" s="104"/>
      <c r="U346" s="104"/>
      <c r="V346" s="105"/>
      <c r="W346" s="308"/>
      <c r="X346" s="105"/>
      <c r="Y346" s="105"/>
      <c r="Z346" s="105"/>
      <c r="AA346" s="104"/>
      <c r="AB346" s="104"/>
      <c r="AC346" s="104"/>
      <c r="AD346" s="104"/>
      <c r="AE346" s="104"/>
      <c r="AF346" s="104"/>
      <c r="AG346" s="104"/>
      <c r="AH346" s="104"/>
      <c r="AI346" s="104"/>
      <c r="AJ346" s="104"/>
      <c r="AK346" s="104"/>
      <c r="AL346" s="104"/>
      <c r="AM346" s="104"/>
      <c r="AN346" s="104"/>
      <c r="AO346" s="104"/>
      <c r="AP346" s="104"/>
      <c r="AQ346" s="104"/>
      <c r="AR346" s="104"/>
      <c r="AS346" s="104"/>
      <c r="AT346" s="104"/>
      <c r="AU346" s="104"/>
      <c r="AV346" s="104"/>
      <c r="AW346" s="104"/>
    </row>
    <row r="347" spans="16:49" x14ac:dyDescent="0.2">
      <c r="P347" s="123"/>
      <c r="Q347" s="307"/>
      <c r="R347" s="310"/>
      <c r="S347" s="308"/>
      <c r="T347" s="104"/>
      <c r="U347" s="104"/>
      <c r="V347" s="105"/>
      <c r="W347" s="308"/>
      <c r="X347" s="105"/>
      <c r="Y347" s="105"/>
      <c r="Z347" s="105"/>
      <c r="AA347" s="104"/>
      <c r="AB347" s="104"/>
      <c r="AC347" s="104"/>
      <c r="AD347" s="104"/>
      <c r="AE347" s="104"/>
      <c r="AF347" s="104"/>
      <c r="AG347" s="104"/>
      <c r="AH347" s="104"/>
      <c r="AI347" s="104"/>
      <c r="AJ347" s="104"/>
      <c r="AK347" s="104"/>
      <c r="AL347" s="104"/>
      <c r="AM347" s="104"/>
      <c r="AN347" s="104"/>
      <c r="AO347" s="104"/>
      <c r="AP347" s="104"/>
      <c r="AQ347" s="104"/>
      <c r="AR347" s="104"/>
      <c r="AS347" s="104"/>
      <c r="AT347" s="104"/>
      <c r="AU347" s="104"/>
      <c r="AV347" s="104"/>
      <c r="AW347" s="104"/>
    </row>
    <row r="348" spans="16:49" x14ac:dyDescent="0.2">
      <c r="P348" s="123"/>
      <c r="Q348" s="307"/>
      <c r="R348" s="310"/>
      <c r="S348" s="308"/>
      <c r="T348" s="104"/>
      <c r="U348" s="104"/>
      <c r="V348" s="105"/>
      <c r="W348" s="308"/>
      <c r="X348" s="105"/>
      <c r="Y348" s="105"/>
      <c r="Z348" s="105"/>
      <c r="AA348" s="104"/>
      <c r="AB348" s="104"/>
      <c r="AC348" s="104"/>
      <c r="AD348" s="104"/>
      <c r="AE348" s="104"/>
      <c r="AF348" s="104"/>
      <c r="AG348" s="104"/>
      <c r="AH348" s="104"/>
      <c r="AI348" s="104"/>
      <c r="AJ348" s="104"/>
      <c r="AK348" s="104"/>
      <c r="AL348" s="104"/>
      <c r="AM348" s="104"/>
      <c r="AN348" s="104"/>
      <c r="AO348" s="104"/>
      <c r="AP348" s="104"/>
      <c r="AQ348" s="104"/>
      <c r="AR348" s="104"/>
      <c r="AS348" s="104"/>
      <c r="AT348" s="104"/>
      <c r="AU348" s="104"/>
      <c r="AV348" s="104"/>
      <c r="AW348" s="104"/>
    </row>
    <row r="349" spans="16:49" x14ac:dyDescent="0.2">
      <c r="P349" s="123"/>
      <c r="Q349" s="307"/>
      <c r="R349" s="310"/>
      <c r="S349" s="308"/>
      <c r="T349" s="104"/>
      <c r="U349" s="104"/>
      <c r="V349" s="105"/>
      <c r="W349" s="308"/>
      <c r="X349" s="105"/>
      <c r="Y349" s="105"/>
      <c r="Z349" s="105"/>
      <c r="AA349" s="104"/>
      <c r="AB349" s="104"/>
      <c r="AC349" s="104"/>
      <c r="AD349" s="104"/>
      <c r="AE349" s="104"/>
      <c r="AF349" s="104"/>
      <c r="AG349" s="104"/>
      <c r="AH349" s="104"/>
      <c r="AI349" s="104"/>
      <c r="AJ349" s="104"/>
      <c r="AK349" s="104"/>
      <c r="AL349" s="104"/>
      <c r="AM349" s="104"/>
      <c r="AN349" s="104"/>
      <c r="AO349" s="104"/>
      <c r="AP349" s="104"/>
      <c r="AQ349" s="104"/>
      <c r="AR349" s="104"/>
      <c r="AS349" s="104"/>
      <c r="AT349" s="104"/>
      <c r="AU349" s="104"/>
      <c r="AV349" s="104"/>
      <c r="AW349" s="104"/>
    </row>
    <row r="350" spans="16:49" x14ac:dyDescent="0.2">
      <c r="P350" s="123"/>
      <c r="Q350" s="307"/>
      <c r="R350" s="310"/>
      <c r="S350" s="308"/>
      <c r="T350" s="104"/>
      <c r="U350" s="104"/>
      <c r="V350" s="105"/>
      <c r="W350" s="110"/>
      <c r="X350" s="104"/>
      <c r="Y350" s="105"/>
      <c r="Z350" s="105"/>
      <c r="AA350" s="104"/>
      <c r="AB350" s="104"/>
      <c r="AC350" s="104"/>
      <c r="AD350" s="104"/>
      <c r="AE350" s="104"/>
      <c r="AF350" s="104"/>
      <c r="AG350" s="104"/>
      <c r="AH350" s="104"/>
      <c r="AI350" s="104"/>
      <c r="AJ350" s="104"/>
      <c r="AK350" s="104"/>
      <c r="AL350" s="104"/>
      <c r="AM350" s="104"/>
      <c r="AN350" s="104"/>
      <c r="AO350" s="104"/>
      <c r="AP350" s="104"/>
      <c r="AQ350" s="104"/>
      <c r="AR350" s="104"/>
      <c r="AS350" s="104"/>
      <c r="AT350" s="104"/>
      <c r="AU350" s="104"/>
      <c r="AV350" s="104"/>
      <c r="AW350" s="104"/>
    </row>
    <row r="351" spans="16:49" x14ac:dyDescent="0.2">
      <c r="P351" s="123"/>
      <c r="Q351" s="307"/>
      <c r="R351" s="310"/>
      <c r="S351" s="308"/>
      <c r="T351" s="104"/>
      <c r="U351" s="104"/>
      <c r="V351" s="105"/>
      <c r="W351" s="110"/>
      <c r="X351" s="104"/>
      <c r="Y351" s="105"/>
      <c r="Z351" s="105"/>
      <c r="AA351" s="104"/>
      <c r="AB351" s="104"/>
      <c r="AC351" s="104"/>
      <c r="AD351" s="104"/>
      <c r="AE351" s="104"/>
      <c r="AF351" s="104"/>
      <c r="AG351" s="104"/>
      <c r="AH351" s="104"/>
      <c r="AI351" s="104"/>
      <c r="AJ351" s="104"/>
      <c r="AK351" s="104"/>
      <c r="AL351" s="104"/>
      <c r="AM351" s="104"/>
      <c r="AN351" s="104"/>
      <c r="AO351" s="104"/>
      <c r="AP351" s="104"/>
      <c r="AQ351" s="104"/>
      <c r="AR351" s="104"/>
      <c r="AS351" s="104"/>
      <c r="AT351" s="104"/>
      <c r="AU351" s="104"/>
      <c r="AV351" s="104"/>
      <c r="AW351" s="104"/>
    </row>
    <row r="352" spans="16:49" x14ac:dyDescent="0.2">
      <c r="P352" s="123"/>
      <c r="Q352" s="307"/>
      <c r="R352" s="310"/>
      <c r="S352" s="308"/>
      <c r="T352" s="104"/>
      <c r="U352" s="104"/>
      <c r="V352" s="105"/>
      <c r="W352" s="110"/>
      <c r="X352" s="104"/>
      <c r="Y352" s="105"/>
      <c r="Z352" s="105"/>
      <c r="AA352" s="104"/>
      <c r="AB352" s="104"/>
      <c r="AC352" s="104"/>
      <c r="AD352" s="104"/>
      <c r="AE352" s="104"/>
      <c r="AF352" s="104"/>
      <c r="AG352" s="104"/>
      <c r="AH352" s="104"/>
      <c r="AI352" s="104"/>
      <c r="AJ352" s="104"/>
      <c r="AK352" s="104"/>
      <c r="AL352" s="104"/>
      <c r="AM352" s="104"/>
      <c r="AN352" s="104"/>
      <c r="AO352" s="104"/>
      <c r="AP352" s="104"/>
      <c r="AQ352" s="104"/>
      <c r="AR352" s="104"/>
      <c r="AS352" s="104"/>
      <c r="AT352" s="104"/>
      <c r="AU352" s="104"/>
      <c r="AV352" s="104"/>
      <c r="AW352" s="104"/>
    </row>
    <row r="353" spans="4:49" x14ac:dyDescent="0.2">
      <c r="P353" s="123"/>
      <c r="Q353" s="307"/>
      <c r="R353" s="310"/>
      <c r="S353" s="308"/>
      <c r="T353" s="104"/>
      <c r="U353" s="104"/>
      <c r="V353" s="105"/>
      <c r="W353" s="110"/>
      <c r="X353" s="104"/>
      <c r="Y353" s="105"/>
      <c r="Z353" s="105"/>
      <c r="AA353" s="104"/>
      <c r="AB353" s="104"/>
      <c r="AC353" s="104"/>
      <c r="AD353" s="104"/>
      <c r="AE353" s="104"/>
      <c r="AF353" s="104"/>
      <c r="AG353" s="104"/>
      <c r="AH353" s="104"/>
      <c r="AI353" s="104"/>
      <c r="AJ353" s="104"/>
      <c r="AK353" s="104"/>
      <c r="AL353" s="104"/>
      <c r="AM353" s="104"/>
      <c r="AN353" s="104"/>
      <c r="AO353" s="104"/>
      <c r="AP353" s="104"/>
      <c r="AQ353" s="104"/>
      <c r="AR353" s="104"/>
      <c r="AS353" s="104"/>
      <c r="AT353" s="104"/>
      <c r="AU353" s="104"/>
      <c r="AV353" s="104"/>
      <c r="AW353" s="104"/>
    </row>
    <row r="354" spans="4:49" x14ac:dyDescent="0.2">
      <c r="P354" s="123"/>
      <c r="Q354" s="307"/>
      <c r="R354" s="310"/>
      <c r="S354" s="308"/>
      <c r="T354" s="104"/>
      <c r="U354" s="104"/>
      <c r="V354" s="105"/>
      <c r="W354" s="110"/>
      <c r="X354" s="104"/>
      <c r="Y354" s="105"/>
      <c r="Z354" s="105"/>
      <c r="AA354" s="104"/>
      <c r="AB354" s="104"/>
      <c r="AC354" s="104"/>
      <c r="AD354" s="104"/>
      <c r="AE354" s="104"/>
      <c r="AF354" s="104"/>
      <c r="AG354" s="104"/>
      <c r="AH354" s="104"/>
      <c r="AI354" s="104"/>
      <c r="AJ354" s="104"/>
      <c r="AK354" s="104"/>
      <c r="AL354" s="104"/>
      <c r="AM354" s="104"/>
      <c r="AN354" s="104"/>
      <c r="AO354" s="104"/>
      <c r="AP354" s="104"/>
      <c r="AQ354" s="104"/>
      <c r="AR354" s="104"/>
      <c r="AS354" s="104"/>
      <c r="AT354" s="104"/>
      <c r="AU354" s="104"/>
      <c r="AV354" s="104"/>
      <c r="AW354" s="104"/>
    </row>
    <row r="355" spans="4:49" x14ac:dyDescent="0.2">
      <c r="P355" s="123"/>
      <c r="Q355" s="307"/>
      <c r="R355" s="310"/>
      <c r="S355" s="308"/>
      <c r="T355" s="104"/>
      <c r="U355" s="104"/>
      <c r="V355" s="105"/>
      <c r="W355" s="110"/>
      <c r="X355" s="104"/>
      <c r="Y355" s="105"/>
      <c r="Z355" s="105"/>
      <c r="AA355" s="104"/>
      <c r="AB355" s="104"/>
      <c r="AC355" s="104"/>
      <c r="AD355" s="104"/>
      <c r="AE355" s="104"/>
      <c r="AF355" s="104"/>
      <c r="AG355" s="104"/>
      <c r="AH355" s="104"/>
      <c r="AI355" s="104"/>
      <c r="AJ355" s="104"/>
      <c r="AK355" s="104"/>
      <c r="AL355" s="104"/>
      <c r="AM355" s="104"/>
      <c r="AN355" s="104"/>
      <c r="AO355" s="104"/>
      <c r="AP355" s="104"/>
      <c r="AQ355" s="104"/>
      <c r="AR355" s="104"/>
      <c r="AS355" s="104"/>
      <c r="AT355" s="104"/>
      <c r="AU355" s="104"/>
      <c r="AV355" s="104"/>
      <c r="AW355" s="104"/>
    </row>
    <row r="356" spans="4:49" x14ac:dyDescent="0.2">
      <c r="P356" s="123"/>
      <c r="Q356" s="307"/>
      <c r="R356" s="310"/>
      <c r="S356" s="308"/>
      <c r="T356" s="104"/>
      <c r="U356" s="104"/>
      <c r="V356" s="105"/>
      <c r="W356" s="110"/>
      <c r="X356" s="104"/>
      <c r="Y356" s="105"/>
      <c r="Z356" s="105"/>
      <c r="AA356" s="104"/>
      <c r="AB356" s="104"/>
      <c r="AC356" s="104"/>
      <c r="AD356" s="104"/>
      <c r="AE356" s="104"/>
      <c r="AF356" s="104"/>
      <c r="AG356" s="104"/>
      <c r="AH356" s="104"/>
      <c r="AI356" s="104"/>
      <c r="AJ356" s="104"/>
      <c r="AK356" s="104"/>
      <c r="AL356" s="104"/>
      <c r="AM356" s="104"/>
      <c r="AN356" s="104"/>
      <c r="AO356" s="104"/>
      <c r="AP356" s="104"/>
      <c r="AQ356" s="104"/>
      <c r="AR356" s="104"/>
      <c r="AS356" s="104"/>
      <c r="AT356" s="104"/>
      <c r="AU356" s="104"/>
      <c r="AV356" s="104"/>
      <c r="AW356" s="104"/>
    </row>
    <row r="357" spans="4:49" x14ac:dyDescent="0.2">
      <c r="P357" s="123"/>
      <c r="Q357" s="307"/>
      <c r="R357" s="310"/>
      <c r="S357" s="308"/>
      <c r="T357" s="104"/>
      <c r="U357" s="104"/>
      <c r="V357" s="105"/>
      <c r="W357" s="110"/>
      <c r="X357" s="104"/>
      <c r="Y357" s="105"/>
      <c r="Z357" s="105"/>
      <c r="AA357" s="104"/>
      <c r="AB357" s="104"/>
      <c r="AC357" s="104"/>
      <c r="AD357" s="104"/>
      <c r="AE357" s="104"/>
      <c r="AF357" s="104"/>
      <c r="AG357" s="104"/>
      <c r="AH357" s="104"/>
      <c r="AI357" s="104"/>
      <c r="AJ357" s="104"/>
      <c r="AK357" s="104"/>
      <c r="AL357" s="104"/>
      <c r="AM357" s="104"/>
      <c r="AN357" s="104"/>
      <c r="AO357" s="104"/>
      <c r="AP357" s="104"/>
      <c r="AQ357" s="104"/>
      <c r="AR357" s="104"/>
      <c r="AS357" s="104"/>
      <c r="AT357" s="104"/>
      <c r="AU357" s="104"/>
      <c r="AV357" s="104"/>
      <c r="AW357" s="104"/>
    </row>
    <row r="358" spans="4:49" x14ac:dyDescent="0.2">
      <c r="D358" s="73"/>
      <c r="P358" s="123"/>
      <c r="Q358" s="307"/>
      <c r="R358" s="310"/>
      <c r="S358" s="308"/>
      <c r="T358" s="104"/>
      <c r="U358" s="104"/>
      <c r="V358" s="105"/>
      <c r="W358" s="110"/>
      <c r="X358" s="104"/>
      <c r="Y358" s="105"/>
      <c r="Z358" s="105"/>
      <c r="AA358" s="104"/>
      <c r="AB358" s="104"/>
      <c r="AC358" s="104"/>
      <c r="AD358" s="104"/>
      <c r="AE358" s="104"/>
      <c r="AF358" s="104"/>
      <c r="AG358" s="104"/>
      <c r="AH358" s="104"/>
      <c r="AI358" s="104"/>
      <c r="AJ358" s="104"/>
      <c r="AK358" s="104"/>
      <c r="AL358" s="104"/>
      <c r="AM358" s="104"/>
      <c r="AN358" s="104"/>
      <c r="AO358" s="104"/>
      <c r="AP358" s="104"/>
      <c r="AQ358" s="104"/>
      <c r="AR358" s="104"/>
      <c r="AS358" s="104"/>
      <c r="AT358" s="104"/>
      <c r="AU358" s="104"/>
      <c r="AV358" s="104"/>
      <c r="AW358" s="104"/>
    </row>
    <row r="359" spans="4:49" x14ac:dyDescent="0.2">
      <c r="K359" s="73"/>
      <c r="P359" s="123"/>
      <c r="Q359" s="307"/>
      <c r="R359" s="310"/>
      <c r="S359" s="308"/>
      <c r="T359" s="104"/>
      <c r="U359" s="104"/>
      <c r="V359" s="105"/>
      <c r="W359" s="110"/>
      <c r="X359" s="104"/>
      <c r="Y359" s="105"/>
      <c r="Z359" s="105"/>
      <c r="AA359" s="104"/>
      <c r="AB359" s="104"/>
      <c r="AC359" s="104"/>
      <c r="AD359" s="104"/>
      <c r="AE359" s="104"/>
      <c r="AF359" s="104"/>
      <c r="AG359" s="104"/>
      <c r="AH359" s="104"/>
      <c r="AI359" s="104"/>
      <c r="AJ359" s="104"/>
      <c r="AK359" s="104"/>
      <c r="AL359" s="104"/>
      <c r="AM359" s="104"/>
      <c r="AN359" s="104"/>
      <c r="AO359" s="104"/>
      <c r="AP359" s="104"/>
      <c r="AQ359" s="104"/>
      <c r="AR359" s="104"/>
      <c r="AS359" s="104"/>
      <c r="AT359" s="104"/>
      <c r="AU359" s="104"/>
      <c r="AV359" s="104"/>
      <c r="AW359" s="104"/>
    </row>
    <row r="360" spans="4:49" x14ac:dyDescent="0.2">
      <c r="R360" s="310"/>
      <c r="S360" s="308"/>
      <c r="T360" s="104"/>
      <c r="U360" s="104"/>
      <c r="V360" s="105"/>
      <c r="W360" s="110"/>
      <c r="X360" s="104"/>
      <c r="Y360" s="105"/>
      <c r="Z360" s="105"/>
      <c r="AA360" s="104"/>
      <c r="AB360" s="104"/>
      <c r="AC360" s="104"/>
      <c r="AD360" s="104"/>
      <c r="AE360" s="104"/>
      <c r="AF360" s="104"/>
      <c r="AG360" s="104"/>
      <c r="AH360" s="104"/>
      <c r="AI360" s="104"/>
      <c r="AJ360" s="104"/>
      <c r="AK360" s="104"/>
      <c r="AL360" s="104"/>
      <c r="AM360" s="104"/>
      <c r="AN360" s="104"/>
      <c r="AO360" s="104"/>
      <c r="AP360" s="104"/>
      <c r="AQ360" s="104"/>
      <c r="AR360" s="104"/>
      <c r="AS360" s="104"/>
      <c r="AT360" s="104"/>
      <c r="AU360" s="104"/>
      <c r="AV360" s="104"/>
      <c r="AW360" s="104"/>
    </row>
    <row r="361" spans="4:49" x14ac:dyDescent="0.2">
      <c r="R361" s="310"/>
      <c r="S361" s="308"/>
      <c r="T361" s="104"/>
      <c r="U361" s="104"/>
      <c r="V361" s="105"/>
      <c r="W361" s="110"/>
      <c r="X361" s="104"/>
      <c r="Y361" s="105"/>
      <c r="Z361" s="105"/>
      <c r="AA361" s="104"/>
      <c r="AB361" s="104"/>
      <c r="AC361" s="104"/>
      <c r="AD361" s="104"/>
      <c r="AE361" s="104"/>
      <c r="AF361" s="104"/>
      <c r="AG361" s="104"/>
      <c r="AH361" s="104"/>
      <c r="AI361" s="104"/>
      <c r="AJ361" s="104"/>
      <c r="AK361" s="104"/>
      <c r="AL361" s="104"/>
      <c r="AM361" s="104"/>
      <c r="AN361" s="104"/>
      <c r="AO361" s="104"/>
      <c r="AP361" s="104"/>
      <c r="AQ361" s="104"/>
      <c r="AR361" s="104"/>
      <c r="AS361" s="104"/>
      <c r="AT361" s="104"/>
      <c r="AU361" s="104"/>
      <c r="AV361" s="104"/>
      <c r="AW361" s="104"/>
    </row>
    <row r="362" spans="4:49" x14ac:dyDescent="0.2">
      <c r="R362" s="310"/>
      <c r="S362" s="308"/>
      <c r="T362" s="104"/>
      <c r="U362" s="104"/>
      <c r="V362" s="105"/>
      <c r="W362" s="110"/>
      <c r="X362" s="104"/>
      <c r="Y362" s="105"/>
      <c r="Z362" s="105"/>
      <c r="AA362" s="104"/>
      <c r="AB362" s="104"/>
      <c r="AC362" s="104"/>
      <c r="AD362" s="104"/>
      <c r="AE362" s="104"/>
      <c r="AF362" s="104"/>
      <c r="AG362" s="104"/>
      <c r="AH362" s="104"/>
      <c r="AI362" s="104"/>
      <c r="AJ362" s="104"/>
      <c r="AK362" s="104"/>
      <c r="AL362" s="104"/>
      <c r="AM362" s="104"/>
      <c r="AN362" s="104"/>
      <c r="AO362" s="104"/>
      <c r="AP362" s="104"/>
      <c r="AQ362" s="104"/>
      <c r="AR362" s="104"/>
      <c r="AS362" s="104"/>
      <c r="AT362" s="104"/>
      <c r="AU362" s="104"/>
      <c r="AV362" s="104"/>
      <c r="AW362" s="104"/>
    </row>
    <row r="363" spans="4:49" x14ac:dyDescent="0.2">
      <c r="R363" s="310"/>
      <c r="S363" s="308"/>
      <c r="T363" s="104"/>
      <c r="U363" s="104"/>
      <c r="V363" s="105"/>
      <c r="W363" s="110"/>
      <c r="X363" s="104"/>
      <c r="Y363" s="105"/>
      <c r="Z363" s="146"/>
      <c r="AA363" s="104"/>
      <c r="AB363" s="104"/>
      <c r="AC363" s="104"/>
      <c r="AD363" s="104"/>
      <c r="AE363" s="104"/>
      <c r="AF363" s="104"/>
      <c r="AG363" s="104"/>
      <c r="AH363" s="104"/>
      <c r="AI363" s="104"/>
      <c r="AJ363" s="104"/>
      <c r="AK363" s="104"/>
      <c r="AL363" s="104"/>
      <c r="AM363" s="104"/>
      <c r="AN363" s="104"/>
      <c r="AO363" s="104"/>
      <c r="AP363" s="104"/>
      <c r="AQ363" s="104"/>
      <c r="AR363" s="104"/>
      <c r="AS363" s="104"/>
      <c r="AT363" s="104"/>
      <c r="AU363" s="104"/>
      <c r="AV363" s="104"/>
      <c r="AW363" s="104"/>
    </row>
    <row r="364" spans="4:49" x14ac:dyDescent="0.2">
      <c r="R364" s="310"/>
      <c r="S364" s="308"/>
      <c r="T364" s="104"/>
      <c r="U364" s="104"/>
      <c r="V364" s="105"/>
      <c r="W364" s="110"/>
      <c r="X364" s="104"/>
      <c r="Y364" s="105"/>
      <c r="Z364" s="146"/>
      <c r="AA364" s="104"/>
      <c r="AB364" s="104"/>
      <c r="AC364" s="104"/>
      <c r="AD364" s="104"/>
      <c r="AE364" s="104"/>
      <c r="AF364" s="104"/>
      <c r="AG364" s="104"/>
      <c r="AH364" s="104"/>
      <c r="AI364" s="104"/>
      <c r="AJ364" s="104"/>
      <c r="AK364" s="104"/>
      <c r="AL364" s="104"/>
      <c r="AM364" s="104"/>
      <c r="AN364" s="104"/>
      <c r="AO364" s="104"/>
      <c r="AP364" s="104"/>
      <c r="AQ364" s="104"/>
      <c r="AR364" s="104"/>
      <c r="AS364" s="104"/>
      <c r="AT364" s="104"/>
      <c r="AU364" s="104"/>
      <c r="AV364" s="104"/>
      <c r="AW364" s="104"/>
    </row>
    <row r="365" spans="4:49" x14ac:dyDescent="0.2">
      <c r="R365" s="310"/>
      <c r="S365" s="308"/>
      <c r="T365" s="104"/>
      <c r="U365" s="104"/>
      <c r="V365" s="105"/>
      <c r="W365" s="110"/>
      <c r="X365" s="104"/>
      <c r="Y365" s="105"/>
      <c r="Z365" s="146"/>
      <c r="AA365" s="104"/>
      <c r="AB365" s="104"/>
      <c r="AC365" s="104"/>
      <c r="AD365" s="104"/>
      <c r="AE365" s="104"/>
      <c r="AF365" s="104"/>
      <c r="AG365" s="104"/>
      <c r="AH365" s="104"/>
      <c r="AI365" s="104"/>
      <c r="AJ365" s="104"/>
      <c r="AK365" s="104"/>
      <c r="AL365" s="104"/>
      <c r="AM365" s="104"/>
      <c r="AN365" s="104"/>
      <c r="AO365" s="104"/>
      <c r="AP365" s="104"/>
      <c r="AQ365" s="104"/>
      <c r="AR365" s="104"/>
      <c r="AS365" s="104"/>
      <c r="AT365" s="104"/>
      <c r="AU365" s="104"/>
      <c r="AV365" s="104"/>
      <c r="AW365" s="104"/>
    </row>
    <row r="366" spans="4:49" x14ac:dyDescent="0.2">
      <c r="R366" s="310"/>
      <c r="S366" s="308"/>
      <c r="T366" s="104"/>
      <c r="U366" s="104"/>
      <c r="V366" s="104"/>
      <c r="W366" s="110"/>
      <c r="X366" s="104"/>
      <c r="Y366" s="105"/>
      <c r="Z366" s="105"/>
      <c r="AA366" s="104"/>
      <c r="AB366" s="104"/>
      <c r="AC366" s="104"/>
      <c r="AD366" s="104"/>
      <c r="AE366" s="104"/>
      <c r="AF366" s="104"/>
      <c r="AG366" s="104"/>
      <c r="AH366" s="104"/>
      <c r="AI366" s="104"/>
      <c r="AJ366" s="104"/>
      <c r="AK366" s="104"/>
      <c r="AL366" s="104"/>
      <c r="AM366" s="104"/>
      <c r="AN366" s="104"/>
      <c r="AO366" s="104"/>
      <c r="AP366" s="104"/>
      <c r="AQ366" s="104"/>
      <c r="AR366" s="104"/>
      <c r="AS366" s="104"/>
      <c r="AT366" s="104"/>
      <c r="AU366" s="104"/>
      <c r="AV366" s="104"/>
      <c r="AW366" s="104"/>
    </row>
    <row r="367" spans="4:49" x14ac:dyDescent="0.2">
      <c r="R367" s="310"/>
      <c r="S367" s="308"/>
      <c r="T367" s="104"/>
      <c r="U367" s="104"/>
      <c r="V367" s="104"/>
      <c r="W367" s="110"/>
      <c r="X367" s="104"/>
      <c r="Y367" s="105"/>
      <c r="Z367" s="311"/>
      <c r="AA367" s="105"/>
      <c r="AB367" s="104"/>
      <c r="AC367" s="105"/>
      <c r="AD367" s="104"/>
      <c r="AE367" s="104"/>
      <c r="AF367" s="104"/>
      <c r="AG367" s="104"/>
      <c r="AH367" s="104"/>
      <c r="AI367" s="104"/>
      <c r="AJ367" s="104"/>
      <c r="AK367" s="104"/>
      <c r="AL367" s="104"/>
      <c r="AM367" s="104"/>
      <c r="AN367" s="104"/>
      <c r="AO367" s="104"/>
      <c r="AP367" s="104"/>
      <c r="AQ367" s="104"/>
      <c r="AR367" s="104"/>
      <c r="AS367" s="104"/>
      <c r="AT367" s="104"/>
      <c r="AU367" s="104"/>
      <c r="AV367" s="104"/>
      <c r="AW367" s="104"/>
    </row>
    <row r="368" spans="4:49" x14ac:dyDescent="0.2">
      <c r="R368" s="310"/>
      <c r="S368" s="308"/>
      <c r="T368" s="104"/>
      <c r="U368" s="104"/>
      <c r="V368" s="104"/>
      <c r="W368" s="110"/>
      <c r="X368" s="104"/>
      <c r="Y368" s="105"/>
      <c r="Z368" s="311"/>
      <c r="AA368" s="105"/>
      <c r="AB368" s="105"/>
      <c r="AC368" s="105"/>
      <c r="AD368" s="104"/>
      <c r="AE368" s="104"/>
      <c r="AF368" s="104"/>
      <c r="AG368" s="104"/>
      <c r="AH368" s="104"/>
      <c r="AI368" s="104"/>
      <c r="AJ368" s="104"/>
      <c r="AK368" s="104"/>
      <c r="AL368" s="104"/>
      <c r="AM368" s="104"/>
      <c r="AN368" s="104"/>
      <c r="AO368" s="104"/>
      <c r="AP368" s="104"/>
      <c r="AQ368" s="104"/>
      <c r="AR368" s="104"/>
      <c r="AS368" s="104"/>
      <c r="AT368" s="104"/>
      <c r="AU368" s="104"/>
      <c r="AV368" s="104"/>
      <c r="AW368" s="104"/>
    </row>
    <row r="369" spans="18:58" x14ac:dyDescent="0.2">
      <c r="R369" s="310"/>
      <c r="S369" s="308"/>
      <c r="T369" s="104"/>
      <c r="U369" s="104"/>
      <c r="V369" s="104"/>
      <c r="W369" s="110"/>
      <c r="X369" s="104"/>
      <c r="Y369" s="105"/>
      <c r="Z369" s="311"/>
      <c r="AA369" s="105"/>
      <c r="AB369" s="105"/>
      <c r="AC369" s="105"/>
      <c r="AD369" s="105"/>
      <c r="AE369" s="204"/>
      <c r="AF369" s="105"/>
      <c r="AG369" s="105"/>
      <c r="AH369" s="105"/>
      <c r="AI369" s="105"/>
      <c r="AJ369" s="104"/>
      <c r="AK369" s="104"/>
      <c r="AL369" s="104"/>
      <c r="AM369" s="104"/>
      <c r="AN369" s="104"/>
      <c r="AO369" s="104"/>
      <c r="AP369" s="104"/>
      <c r="AQ369" s="104"/>
      <c r="AR369" s="104"/>
      <c r="AS369" s="104"/>
      <c r="AT369" s="104"/>
      <c r="AU369" s="104"/>
      <c r="AV369" s="104"/>
      <c r="AW369" s="104"/>
      <c r="AX369" s="104"/>
      <c r="AY369" s="104"/>
      <c r="AZ369" s="104"/>
      <c r="BA369" s="104"/>
      <c r="BB369" s="104"/>
      <c r="BC369" s="104"/>
      <c r="BD369" s="104"/>
      <c r="BE369" s="104"/>
      <c r="BF369" s="104"/>
    </row>
    <row r="370" spans="18:58" x14ac:dyDescent="0.2">
      <c r="R370" s="310"/>
      <c r="S370" s="308"/>
      <c r="T370" s="104"/>
      <c r="U370" s="104"/>
      <c r="V370" s="104"/>
      <c r="W370" s="110"/>
      <c r="X370" s="104"/>
      <c r="Y370" s="105"/>
      <c r="Z370" s="105"/>
      <c r="AA370" s="105"/>
      <c r="AB370" s="105"/>
      <c r="AC370" s="105"/>
      <c r="AD370" s="105"/>
      <c r="AE370" s="204"/>
      <c r="AF370" s="105"/>
      <c r="AG370" s="105"/>
      <c r="AH370" s="105"/>
      <c r="AI370" s="146"/>
      <c r="AJ370" s="104"/>
      <c r="AK370" s="104"/>
      <c r="AL370" s="104"/>
      <c r="AM370" s="104"/>
      <c r="AN370" s="104"/>
      <c r="AO370" s="104"/>
      <c r="AP370" s="104"/>
      <c r="AQ370" s="104"/>
      <c r="AR370" s="104"/>
      <c r="AS370" s="104"/>
      <c r="AT370" s="104"/>
      <c r="AU370" s="104"/>
      <c r="AV370" s="104"/>
      <c r="AW370" s="104"/>
      <c r="AX370" s="104"/>
      <c r="AY370" s="104"/>
      <c r="AZ370" s="104"/>
      <c r="BA370" s="104"/>
      <c r="BB370" s="104"/>
      <c r="BC370" s="104"/>
      <c r="BD370" s="104"/>
      <c r="BE370" s="104"/>
      <c r="BF370" s="104"/>
    </row>
    <row r="371" spans="18:58" x14ac:dyDescent="0.2">
      <c r="R371" s="310"/>
      <c r="S371" s="308"/>
      <c r="T371" s="104"/>
      <c r="U371" s="104"/>
      <c r="V371" s="104"/>
      <c r="W371" s="110"/>
      <c r="X371" s="104"/>
      <c r="Y371" s="105"/>
      <c r="Z371" s="105"/>
      <c r="AA371" s="105"/>
      <c r="AB371" s="105"/>
      <c r="AC371" s="105"/>
      <c r="AD371" s="105"/>
      <c r="AE371" s="204"/>
      <c r="AF371" s="105"/>
      <c r="AG371" s="105"/>
      <c r="AH371" s="105"/>
      <c r="AI371" s="105"/>
      <c r="AJ371" s="104"/>
      <c r="AK371" s="104"/>
      <c r="AL371" s="104"/>
      <c r="AM371" s="104"/>
      <c r="AN371" s="104"/>
      <c r="AO371" s="104"/>
      <c r="AP371" s="104"/>
      <c r="AQ371" s="104"/>
      <c r="AR371" s="104"/>
      <c r="AS371" s="104"/>
      <c r="AT371" s="104"/>
      <c r="AU371" s="104"/>
      <c r="AV371" s="104"/>
      <c r="AW371" s="104"/>
      <c r="AX371" s="104"/>
      <c r="AY371" s="104"/>
      <c r="AZ371" s="104"/>
      <c r="BA371" s="104"/>
      <c r="BB371" s="104"/>
      <c r="BC371" s="104"/>
      <c r="BD371" s="104"/>
      <c r="BE371" s="104"/>
      <c r="BF371" s="104"/>
    </row>
    <row r="372" spans="18:58" x14ac:dyDescent="0.2">
      <c r="R372" s="310"/>
      <c r="S372" s="308"/>
      <c r="T372" s="104"/>
      <c r="U372" s="104"/>
      <c r="V372" s="104"/>
      <c r="W372" s="110"/>
      <c r="X372" s="104"/>
      <c r="Y372" s="105"/>
      <c r="Z372" s="105"/>
      <c r="AA372" s="105"/>
      <c r="AB372" s="105"/>
      <c r="AC372" s="105"/>
      <c r="AD372" s="105"/>
      <c r="AE372" s="204"/>
      <c r="AF372" s="105"/>
      <c r="AG372" s="105"/>
      <c r="AH372" s="105"/>
      <c r="AI372" s="146"/>
      <c r="AJ372" s="104"/>
      <c r="AK372" s="104"/>
      <c r="AL372" s="104"/>
      <c r="AM372" s="104"/>
      <c r="AN372" s="104"/>
      <c r="AO372" s="104"/>
      <c r="AP372" s="104"/>
      <c r="AQ372" s="104"/>
      <c r="AR372" s="104"/>
      <c r="AS372" s="104"/>
      <c r="AT372" s="104"/>
      <c r="AU372" s="104"/>
      <c r="AV372" s="104"/>
      <c r="AW372" s="104"/>
      <c r="AX372" s="104"/>
      <c r="AY372" s="104"/>
      <c r="AZ372" s="104"/>
      <c r="BA372" s="104"/>
      <c r="BB372" s="104"/>
      <c r="BC372" s="104"/>
      <c r="BD372" s="104"/>
      <c r="BE372" s="104"/>
      <c r="BF372" s="104"/>
    </row>
    <row r="373" spans="18:58" x14ac:dyDescent="0.2">
      <c r="R373" s="310"/>
      <c r="S373" s="308"/>
      <c r="T373" s="104"/>
      <c r="U373" s="104"/>
      <c r="V373" s="104"/>
      <c r="W373" s="110"/>
      <c r="X373" s="104"/>
      <c r="Y373" s="105"/>
      <c r="Z373" s="105"/>
      <c r="AA373" s="105"/>
      <c r="AB373" s="105"/>
      <c r="AC373" s="105"/>
      <c r="AD373" s="105"/>
      <c r="AE373" s="204"/>
      <c r="AF373" s="105"/>
      <c r="AG373" s="105"/>
      <c r="AH373" s="105"/>
      <c r="AI373" s="105"/>
      <c r="AJ373" s="104"/>
      <c r="AK373" s="104"/>
      <c r="AL373" s="104"/>
      <c r="AM373" s="104"/>
      <c r="AN373" s="104"/>
      <c r="AO373" s="104"/>
      <c r="AP373" s="104"/>
      <c r="AQ373" s="104"/>
      <c r="AR373" s="104"/>
      <c r="AS373" s="104"/>
      <c r="AT373" s="104"/>
      <c r="AU373" s="104"/>
      <c r="AV373" s="104"/>
      <c r="AW373" s="104"/>
      <c r="AX373" s="104"/>
      <c r="AY373" s="104"/>
      <c r="AZ373" s="104"/>
      <c r="BA373" s="104"/>
      <c r="BB373" s="104"/>
      <c r="BC373" s="104"/>
      <c r="BD373" s="104"/>
      <c r="BE373" s="104"/>
      <c r="BF373" s="104"/>
    </row>
    <row r="374" spans="18:58" x14ac:dyDescent="0.2">
      <c r="R374" s="310"/>
      <c r="S374" s="308"/>
      <c r="T374" s="104"/>
      <c r="U374" s="104"/>
      <c r="V374" s="104"/>
      <c r="W374" s="110"/>
      <c r="X374" s="104"/>
      <c r="Y374" s="105"/>
      <c r="Z374" s="105"/>
      <c r="AA374" s="105"/>
      <c r="AB374" s="105"/>
      <c r="AC374" s="105"/>
      <c r="AD374" s="105"/>
      <c r="AE374" s="204"/>
      <c r="AF374" s="105"/>
      <c r="AG374" s="105"/>
      <c r="AH374" s="105"/>
      <c r="AI374" s="105"/>
      <c r="AJ374" s="104"/>
      <c r="AK374" s="104"/>
      <c r="AL374" s="104"/>
      <c r="AM374" s="104"/>
      <c r="AN374" s="104"/>
      <c r="AO374" s="104"/>
      <c r="AP374" s="104"/>
      <c r="AQ374" s="104"/>
      <c r="AR374" s="104"/>
      <c r="AS374" s="104"/>
      <c r="AT374" s="104"/>
      <c r="AU374" s="104"/>
      <c r="AV374" s="104"/>
      <c r="AW374" s="104"/>
      <c r="AX374" s="104"/>
      <c r="AY374" s="104"/>
      <c r="AZ374" s="104"/>
      <c r="BA374" s="104"/>
      <c r="BB374" s="104"/>
      <c r="BC374" s="104"/>
      <c r="BD374" s="104"/>
      <c r="BE374" s="104"/>
      <c r="BF374" s="104"/>
    </row>
    <row r="375" spans="18:58" x14ac:dyDescent="0.2">
      <c r="R375" s="310"/>
      <c r="S375" s="308"/>
      <c r="T375" s="104"/>
      <c r="U375" s="104"/>
      <c r="V375" s="104"/>
      <c r="W375" s="110"/>
      <c r="X375" s="104"/>
      <c r="Y375" s="105"/>
      <c r="Z375" s="105"/>
      <c r="AA375" s="105"/>
      <c r="AB375" s="105"/>
      <c r="AC375" s="105"/>
      <c r="AD375" s="105"/>
      <c r="AE375" s="204"/>
      <c r="AF375" s="105"/>
      <c r="AG375" s="105"/>
      <c r="AH375" s="105"/>
      <c r="AI375" s="105"/>
      <c r="AJ375" s="104"/>
      <c r="AK375" s="104"/>
      <c r="AL375" s="104"/>
      <c r="AM375" s="104"/>
      <c r="AN375" s="104"/>
      <c r="AO375" s="104"/>
      <c r="AP375" s="104"/>
      <c r="AQ375" s="104"/>
      <c r="AR375" s="104"/>
      <c r="AS375" s="104"/>
      <c r="AT375" s="104"/>
      <c r="AU375" s="104"/>
      <c r="AV375" s="104"/>
      <c r="AW375" s="104"/>
      <c r="AX375" s="104"/>
      <c r="AY375" s="104"/>
      <c r="AZ375" s="104"/>
      <c r="BA375" s="104"/>
      <c r="BB375" s="104"/>
      <c r="BC375" s="104"/>
      <c r="BD375" s="104"/>
      <c r="BE375" s="104"/>
      <c r="BF375" s="104"/>
    </row>
    <row r="376" spans="18:58" x14ac:dyDescent="0.2">
      <c r="R376" s="310"/>
      <c r="S376" s="308"/>
      <c r="T376" s="104"/>
      <c r="U376" s="104"/>
      <c r="V376" s="104"/>
      <c r="W376" s="110"/>
      <c r="X376" s="104"/>
      <c r="Y376" s="105"/>
      <c r="Z376" s="105"/>
      <c r="AA376" s="105"/>
      <c r="AB376" s="105"/>
      <c r="AC376" s="105"/>
      <c r="AD376" s="105"/>
      <c r="AE376" s="204"/>
      <c r="AF376" s="105"/>
      <c r="AG376" s="105"/>
      <c r="AH376" s="105"/>
      <c r="AI376" s="105"/>
      <c r="AJ376" s="104"/>
      <c r="AK376" s="104"/>
      <c r="AL376" s="104"/>
      <c r="AM376" s="104"/>
      <c r="AN376" s="104"/>
      <c r="AO376" s="104"/>
      <c r="AP376" s="104"/>
      <c r="AQ376" s="104"/>
      <c r="AR376" s="104"/>
      <c r="AS376" s="104"/>
      <c r="AT376" s="104"/>
      <c r="AU376" s="104"/>
      <c r="AV376" s="104"/>
      <c r="AW376" s="104"/>
      <c r="AX376" s="104"/>
      <c r="AY376" s="104"/>
      <c r="AZ376" s="104"/>
      <c r="BA376" s="104"/>
      <c r="BB376" s="104"/>
      <c r="BC376" s="104"/>
      <c r="BD376" s="104"/>
      <c r="BE376" s="104"/>
      <c r="BF376" s="104"/>
    </row>
    <row r="377" spans="18:58" x14ac:dyDescent="0.2">
      <c r="R377" s="310"/>
      <c r="S377" s="308"/>
      <c r="T377" s="104"/>
      <c r="U377" s="104"/>
      <c r="V377" s="104"/>
      <c r="W377" s="110"/>
      <c r="X377" s="104"/>
      <c r="Y377" s="105"/>
      <c r="Z377" s="105"/>
      <c r="AA377" s="105"/>
      <c r="AB377" s="105"/>
      <c r="AC377" s="105"/>
      <c r="AD377" s="146"/>
      <c r="AE377" s="204"/>
      <c r="AF377" s="105"/>
      <c r="AG377" s="105"/>
      <c r="AH377" s="105"/>
      <c r="AI377" s="105"/>
      <c r="AJ377" s="104"/>
      <c r="AK377" s="104"/>
      <c r="AL377" s="104"/>
      <c r="AM377" s="104"/>
      <c r="AN377" s="104"/>
      <c r="AO377" s="104"/>
      <c r="AP377" s="104"/>
      <c r="AQ377" s="104"/>
      <c r="AR377" s="104"/>
      <c r="AS377" s="104"/>
      <c r="AT377" s="104"/>
      <c r="AU377" s="104"/>
      <c r="AV377" s="104"/>
      <c r="AW377" s="104"/>
      <c r="AX377" s="104"/>
      <c r="AY377" s="104"/>
      <c r="AZ377" s="104"/>
      <c r="BA377" s="104"/>
      <c r="BB377" s="104"/>
      <c r="BC377" s="104"/>
      <c r="BD377" s="104"/>
      <c r="BE377" s="104"/>
      <c r="BF377" s="104"/>
    </row>
    <row r="378" spans="18:58" x14ac:dyDescent="0.2">
      <c r="R378" s="310"/>
      <c r="S378" s="308"/>
      <c r="T378" s="104"/>
      <c r="U378" s="104"/>
      <c r="V378" s="104"/>
      <c r="W378" s="110"/>
      <c r="X378" s="104"/>
      <c r="Y378" s="105"/>
      <c r="Z378" s="105"/>
      <c r="AA378" s="105"/>
      <c r="AB378" s="105"/>
      <c r="AC378" s="105"/>
      <c r="AD378" s="105"/>
      <c r="AE378" s="204"/>
      <c r="AF378" s="105"/>
      <c r="AG378" s="105"/>
      <c r="AH378" s="105"/>
      <c r="AI378" s="105"/>
      <c r="AJ378" s="104"/>
      <c r="AK378" s="104"/>
      <c r="AL378" s="104"/>
      <c r="AM378" s="104"/>
      <c r="AN378" s="104"/>
      <c r="AO378" s="104"/>
      <c r="AP378" s="104"/>
      <c r="AQ378" s="104"/>
      <c r="AR378" s="104"/>
      <c r="AS378" s="104"/>
      <c r="AT378" s="104"/>
      <c r="AU378" s="104"/>
      <c r="AV378" s="104"/>
      <c r="AW378" s="104"/>
      <c r="AX378" s="104"/>
      <c r="AY378" s="104"/>
      <c r="AZ378" s="104"/>
      <c r="BA378" s="104"/>
      <c r="BB378" s="104"/>
      <c r="BC378" s="104"/>
      <c r="BD378" s="104"/>
      <c r="BE378" s="104"/>
      <c r="BF378" s="104"/>
    </row>
    <row r="379" spans="18:58" x14ac:dyDescent="0.2">
      <c r="R379" s="310"/>
      <c r="S379" s="308"/>
      <c r="T379" s="104"/>
      <c r="U379" s="104"/>
      <c r="V379" s="104"/>
      <c r="W379" s="110"/>
      <c r="X379" s="104"/>
      <c r="Y379" s="105"/>
      <c r="Z379" s="105"/>
      <c r="AA379" s="105"/>
      <c r="AB379" s="105"/>
      <c r="AC379" s="146"/>
      <c r="AD379" s="105"/>
      <c r="AE379" s="204"/>
      <c r="AF379" s="105"/>
      <c r="AG379" s="105"/>
      <c r="AH379" s="105"/>
      <c r="AI379" s="105"/>
      <c r="AJ379" s="104"/>
      <c r="AK379" s="104"/>
      <c r="AL379" s="104"/>
      <c r="AM379" s="104"/>
      <c r="AN379" s="104"/>
      <c r="AO379" s="104"/>
      <c r="AP379" s="104"/>
      <c r="AQ379" s="104"/>
      <c r="AR379" s="104"/>
      <c r="AS379" s="104"/>
      <c r="AT379" s="104"/>
      <c r="AU379" s="104"/>
      <c r="AV379" s="104"/>
      <c r="AW379" s="104"/>
      <c r="AX379" s="104"/>
      <c r="AY379" s="104"/>
      <c r="AZ379" s="104"/>
      <c r="BA379" s="104"/>
      <c r="BB379" s="104"/>
      <c r="BC379" s="104"/>
      <c r="BD379" s="104"/>
      <c r="BE379" s="104"/>
      <c r="BF379" s="104"/>
    </row>
    <row r="380" spans="18:58" x14ac:dyDescent="0.2">
      <c r="R380" s="310"/>
      <c r="S380" s="308"/>
      <c r="T380" s="104"/>
      <c r="U380" s="104"/>
      <c r="V380" s="104"/>
      <c r="W380" s="110"/>
      <c r="X380" s="104"/>
      <c r="Y380" s="105"/>
      <c r="Z380" s="105"/>
      <c r="AA380" s="105"/>
      <c r="AB380" s="105"/>
      <c r="AC380" s="105"/>
      <c r="AD380" s="105"/>
      <c r="AE380" s="204"/>
      <c r="AF380" s="105"/>
      <c r="AG380" s="105"/>
      <c r="AH380" s="105"/>
      <c r="AI380" s="105"/>
      <c r="AJ380" s="104"/>
      <c r="AK380" s="104"/>
      <c r="AL380" s="104"/>
      <c r="AM380" s="104"/>
      <c r="AN380" s="104"/>
      <c r="AO380" s="104"/>
      <c r="AP380" s="104"/>
      <c r="AQ380" s="104"/>
      <c r="AR380" s="104"/>
      <c r="AS380" s="104"/>
      <c r="AT380" s="104"/>
      <c r="AU380" s="104"/>
      <c r="AV380" s="104"/>
      <c r="AW380" s="104"/>
      <c r="AX380" s="104"/>
      <c r="AY380" s="104"/>
      <c r="AZ380" s="104"/>
      <c r="BA380" s="104"/>
      <c r="BB380" s="104"/>
      <c r="BC380" s="104"/>
      <c r="BD380" s="104"/>
      <c r="BE380" s="104"/>
      <c r="BF380" s="104"/>
    </row>
    <row r="381" spans="18:58" x14ac:dyDescent="0.2">
      <c r="R381" s="310"/>
      <c r="S381" s="308"/>
      <c r="T381" s="104"/>
      <c r="U381" s="104"/>
      <c r="V381" s="104"/>
      <c r="W381" s="110"/>
      <c r="X381" s="104"/>
      <c r="Y381" s="104"/>
      <c r="Z381" s="105"/>
      <c r="AA381" s="105"/>
      <c r="AB381" s="105"/>
      <c r="AC381" s="146"/>
      <c r="AD381" s="105"/>
      <c r="AE381" s="204"/>
      <c r="AF381" s="105"/>
      <c r="AG381" s="105"/>
      <c r="AH381" s="105"/>
      <c r="AI381" s="105"/>
      <c r="AJ381" s="104"/>
      <c r="AK381" s="104"/>
      <c r="AL381" s="104"/>
      <c r="AM381" s="104"/>
      <c r="AN381" s="104"/>
      <c r="AO381" s="104"/>
      <c r="AP381" s="104"/>
      <c r="AQ381" s="104"/>
      <c r="AR381" s="104"/>
      <c r="AS381" s="104"/>
      <c r="AT381" s="104"/>
      <c r="AU381" s="104"/>
      <c r="AV381" s="104"/>
      <c r="AW381" s="104"/>
      <c r="AX381" s="104"/>
      <c r="AY381" s="104"/>
      <c r="AZ381" s="104"/>
      <c r="BA381" s="104"/>
      <c r="BB381" s="104"/>
      <c r="BC381" s="104"/>
      <c r="BD381" s="104"/>
      <c r="BE381" s="104"/>
      <c r="BF381" s="104"/>
    </row>
    <row r="382" spans="18:58" x14ac:dyDescent="0.2">
      <c r="R382" s="310"/>
      <c r="S382" s="308"/>
      <c r="T382" s="104"/>
      <c r="U382" s="104"/>
      <c r="V382" s="104"/>
      <c r="W382" s="110"/>
      <c r="X382" s="104"/>
      <c r="Y382" s="104"/>
      <c r="Z382" s="105"/>
      <c r="AA382" s="105"/>
      <c r="AB382" s="105"/>
      <c r="AC382" s="146"/>
      <c r="AD382" s="105"/>
      <c r="AE382" s="204"/>
      <c r="AF382" s="105"/>
      <c r="AG382" s="105"/>
      <c r="AH382" s="105"/>
      <c r="AI382" s="105"/>
      <c r="AJ382" s="104"/>
      <c r="AK382" s="104"/>
      <c r="AL382" s="104"/>
      <c r="AM382" s="104"/>
      <c r="AN382" s="104"/>
      <c r="AO382" s="104"/>
      <c r="AP382" s="104"/>
      <c r="AQ382" s="104"/>
      <c r="AR382" s="104"/>
      <c r="AS382" s="104"/>
      <c r="AT382" s="104"/>
      <c r="AU382" s="104"/>
      <c r="AV382" s="104"/>
      <c r="AW382" s="104"/>
      <c r="AX382" s="104"/>
      <c r="AY382" s="104"/>
      <c r="AZ382" s="104"/>
      <c r="BA382" s="104"/>
      <c r="BB382" s="104"/>
      <c r="BC382" s="104"/>
      <c r="BD382" s="104"/>
      <c r="BE382" s="104"/>
      <c r="BF382" s="104"/>
    </row>
    <row r="383" spans="18:58" x14ac:dyDescent="0.2">
      <c r="R383" s="310"/>
      <c r="S383" s="308"/>
      <c r="T383" s="104"/>
      <c r="U383" s="104"/>
      <c r="V383" s="104"/>
      <c r="W383" s="110"/>
      <c r="X383" s="104"/>
      <c r="Y383" s="104"/>
      <c r="Z383" s="105"/>
      <c r="AA383" s="105"/>
      <c r="AB383" s="105"/>
      <c r="AC383" s="105"/>
      <c r="AD383" s="105"/>
      <c r="AE383" s="204"/>
      <c r="AF383" s="105"/>
      <c r="AG383" s="105"/>
      <c r="AH383" s="105"/>
      <c r="AI383" s="105"/>
      <c r="AJ383" s="104"/>
      <c r="AK383" s="104"/>
      <c r="AL383" s="104"/>
      <c r="AM383" s="104"/>
      <c r="AN383" s="104"/>
      <c r="AO383" s="104"/>
      <c r="AP383" s="104"/>
      <c r="AQ383" s="104"/>
      <c r="AR383" s="104"/>
      <c r="AS383" s="104"/>
      <c r="AT383" s="104"/>
      <c r="AU383" s="104"/>
      <c r="AV383" s="104"/>
      <c r="AW383" s="104"/>
      <c r="AX383" s="104"/>
      <c r="AY383" s="104"/>
      <c r="AZ383" s="104"/>
      <c r="BA383" s="104"/>
      <c r="BB383" s="104"/>
      <c r="BC383" s="104"/>
      <c r="BD383" s="104"/>
      <c r="BE383" s="104"/>
      <c r="BF383" s="104"/>
    </row>
    <row r="384" spans="18:58" x14ac:dyDescent="0.2">
      <c r="R384" s="310"/>
      <c r="S384" s="308"/>
      <c r="T384" s="104"/>
      <c r="U384" s="104"/>
      <c r="V384" s="104"/>
      <c r="W384" s="110"/>
      <c r="X384" s="104"/>
      <c r="Y384" s="104"/>
      <c r="Z384" s="105"/>
      <c r="AA384" s="105"/>
      <c r="AB384" s="105"/>
      <c r="AC384" s="105"/>
      <c r="AD384" s="105"/>
      <c r="AE384" s="204"/>
      <c r="AF384" s="105"/>
      <c r="AG384" s="105"/>
      <c r="AH384" s="105"/>
      <c r="AI384" s="105"/>
      <c r="AJ384" s="104"/>
      <c r="AK384" s="104"/>
      <c r="AL384" s="104"/>
      <c r="AM384" s="104"/>
      <c r="AN384" s="104"/>
      <c r="AO384" s="104"/>
      <c r="AP384" s="104"/>
      <c r="AQ384" s="104"/>
      <c r="AR384" s="104"/>
      <c r="AS384" s="104"/>
      <c r="AT384" s="104"/>
      <c r="AU384" s="104"/>
      <c r="AV384" s="104"/>
      <c r="AW384" s="104"/>
      <c r="AX384" s="104"/>
      <c r="AY384" s="104"/>
      <c r="AZ384" s="104"/>
      <c r="BA384" s="104"/>
      <c r="BB384" s="104"/>
      <c r="BC384" s="104"/>
      <c r="BD384" s="104"/>
      <c r="BE384" s="104"/>
      <c r="BF384" s="104"/>
    </row>
    <row r="385" spans="18:58" x14ac:dyDescent="0.2">
      <c r="R385" s="310"/>
      <c r="S385" s="308"/>
      <c r="T385" s="104"/>
      <c r="U385" s="104"/>
      <c r="V385" s="104"/>
      <c r="W385" s="110"/>
      <c r="X385" s="104"/>
      <c r="Y385" s="104"/>
      <c r="Z385" s="105"/>
      <c r="AA385" s="105"/>
      <c r="AB385" s="105"/>
      <c r="AC385" s="105"/>
      <c r="AD385" s="105"/>
      <c r="AE385" s="204"/>
      <c r="AF385" s="105"/>
      <c r="AG385" s="105"/>
      <c r="AH385" s="105"/>
      <c r="AI385" s="105"/>
      <c r="AJ385" s="104"/>
      <c r="AK385" s="104"/>
      <c r="AL385" s="104"/>
      <c r="AM385" s="104"/>
      <c r="AN385" s="104"/>
      <c r="AO385" s="104"/>
      <c r="AP385" s="104"/>
      <c r="AQ385" s="104"/>
      <c r="AR385" s="104"/>
      <c r="AS385" s="104"/>
      <c r="AT385" s="104"/>
      <c r="AU385" s="104"/>
      <c r="AV385" s="104"/>
      <c r="AW385" s="104"/>
      <c r="AX385" s="104"/>
      <c r="AY385" s="104"/>
      <c r="AZ385" s="104"/>
      <c r="BA385" s="104"/>
      <c r="BB385" s="104"/>
      <c r="BC385" s="104"/>
      <c r="BD385" s="104"/>
      <c r="BE385" s="104"/>
      <c r="BF385" s="104"/>
    </row>
    <row r="386" spans="18:58" x14ac:dyDescent="0.2">
      <c r="R386" s="310"/>
      <c r="S386" s="308"/>
      <c r="T386" s="104"/>
      <c r="U386" s="104"/>
      <c r="V386" s="104"/>
      <c r="W386" s="110"/>
      <c r="X386" s="104"/>
      <c r="Y386" s="104"/>
      <c r="Z386" s="105"/>
      <c r="AA386" s="105"/>
      <c r="AB386" s="105"/>
      <c r="AC386" s="105"/>
      <c r="AD386" s="105"/>
      <c r="AE386" s="204"/>
      <c r="AF386" s="105"/>
      <c r="AG386" s="105"/>
      <c r="AH386" s="105"/>
      <c r="AI386" s="105"/>
      <c r="AJ386" s="104"/>
      <c r="AK386" s="104"/>
      <c r="AL386" s="104"/>
      <c r="AM386" s="104"/>
      <c r="AN386" s="104"/>
      <c r="AO386" s="104"/>
      <c r="AP386" s="104"/>
      <c r="AQ386" s="104"/>
      <c r="AR386" s="104"/>
      <c r="AS386" s="104"/>
      <c r="AT386" s="104"/>
      <c r="AU386" s="104"/>
      <c r="AV386" s="104"/>
      <c r="AW386" s="104"/>
      <c r="AX386" s="104"/>
      <c r="AY386" s="104"/>
      <c r="AZ386" s="104"/>
      <c r="BA386" s="104"/>
      <c r="BB386" s="104"/>
      <c r="BC386" s="104"/>
      <c r="BD386" s="104"/>
      <c r="BE386" s="104"/>
      <c r="BF386" s="104"/>
    </row>
    <row r="387" spans="18:58" x14ac:dyDescent="0.2">
      <c r="R387" s="310"/>
      <c r="S387" s="308"/>
      <c r="T387" s="104"/>
      <c r="U387" s="104"/>
      <c r="V387" s="104"/>
      <c r="W387" s="110"/>
      <c r="X387" s="104"/>
      <c r="Y387" s="104"/>
      <c r="Z387" s="105"/>
      <c r="AA387" s="105"/>
      <c r="AB387" s="105"/>
      <c r="AC387" s="105"/>
      <c r="AD387" s="105"/>
      <c r="AE387" s="204"/>
      <c r="AF387" s="105"/>
      <c r="AG387" s="105"/>
      <c r="AH387" s="105"/>
      <c r="AI387" s="105"/>
      <c r="AJ387" s="104"/>
      <c r="AK387" s="104"/>
      <c r="AL387" s="104"/>
      <c r="AM387" s="104"/>
      <c r="AN387" s="104"/>
      <c r="AO387" s="104"/>
      <c r="AP387" s="104"/>
      <c r="AQ387" s="104"/>
      <c r="AR387" s="104"/>
      <c r="AS387" s="104"/>
      <c r="AT387" s="104"/>
      <c r="AU387" s="104"/>
      <c r="AV387" s="104"/>
      <c r="AW387" s="104"/>
      <c r="AX387" s="104"/>
      <c r="AY387" s="104"/>
      <c r="AZ387" s="104"/>
      <c r="BA387" s="104"/>
      <c r="BB387" s="104"/>
      <c r="BC387" s="104"/>
      <c r="BD387" s="104"/>
      <c r="BE387" s="104"/>
      <c r="BF387" s="104"/>
    </row>
    <row r="388" spans="18:58" x14ac:dyDescent="0.2">
      <c r="R388" s="310"/>
      <c r="S388" s="308"/>
      <c r="T388" s="104"/>
      <c r="U388" s="104"/>
      <c r="V388" s="104"/>
      <c r="W388" s="110"/>
      <c r="X388" s="104"/>
      <c r="Y388" s="104"/>
      <c r="Z388" s="105"/>
      <c r="AA388" s="105"/>
      <c r="AB388" s="105"/>
      <c r="AC388" s="105"/>
      <c r="AD388" s="105"/>
      <c r="AE388" s="204"/>
      <c r="AF388" s="105"/>
      <c r="AG388" s="311"/>
      <c r="AH388" s="105"/>
      <c r="AI388" s="105"/>
      <c r="AJ388" s="104"/>
      <c r="AK388" s="104"/>
      <c r="AL388" s="104"/>
      <c r="AM388" s="104"/>
      <c r="AN388" s="104"/>
      <c r="AO388" s="104"/>
      <c r="AP388" s="104"/>
      <c r="AQ388" s="104"/>
      <c r="AR388" s="104"/>
      <c r="AS388" s="104"/>
      <c r="AT388" s="104"/>
      <c r="AU388" s="104"/>
      <c r="AV388" s="104"/>
      <c r="AW388" s="104"/>
      <c r="AX388" s="104"/>
      <c r="AY388" s="104"/>
      <c r="AZ388" s="104"/>
      <c r="BA388" s="104"/>
      <c r="BB388" s="104"/>
      <c r="BC388" s="104"/>
      <c r="BD388" s="104"/>
      <c r="BE388" s="104"/>
      <c r="BF388" s="104"/>
    </row>
    <row r="389" spans="18:58" x14ac:dyDescent="0.2">
      <c r="R389" s="310"/>
      <c r="S389" s="308"/>
      <c r="T389" s="104"/>
      <c r="U389" s="104"/>
      <c r="V389" s="104"/>
      <c r="W389" s="110"/>
      <c r="X389" s="104"/>
      <c r="Y389" s="104"/>
      <c r="Z389" s="105"/>
      <c r="AA389" s="105"/>
      <c r="AB389" s="105"/>
      <c r="AC389" s="105"/>
      <c r="AD389" s="105"/>
      <c r="AE389" s="204"/>
      <c r="AF389" s="104"/>
      <c r="AG389" s="311"/>
      <c r="AH389" s="105"/>
      <c r="AI389" s="105"/>
      <c r="AJ389" s="104"/>
      <c r="AK389" s="104"/>
      <c r="AL389" s="104"/>
      <c r="AM389" s="104"/>
      <c r="AN389" s="104"/>
      <c r="AO389" s="104"/>
      <c r="AP389" s="104"/>
      <c r="AQ389" s="104"/>
      <c r="AR389" s="104"/>
      <c r="AS389" s="104"/>
      <c r="AT389" s="104"/>
      <c r="AU389" s="104"/>
      <c r="AV389" s="104"/>
      <c r="AW389" s="104"/>
      <c r="AX389" s="104"/>
      <c r="AY389" s="104"/>
      <c r="AZ389" s="104"/>
      <c r="BA389" s="104"/>
      <c r="BB389" s="104"/>
      <c r="BC389" s="104"/>
      <c r="BD389" s="104"/>
      <c r="BE389" s="104"/>
      <c r="BF389" s="104"/>
    </row>
    <row r="390" spans="18:58" x14ac:dyDescent="0.2">
      <c r="R390" s="310"/>
      <c r="S390" s="308"/>
      <c r="T390" s="104"/>
      <c r="U390" s="104"/>
      <c r="V390" s="104"/>
      <c r="W390" s="110"/>
      <c r="X390" s="104"/>
      <c r="Y390" s="104"/>
      <c r="Z390" s="105"/>
      <c r="AA390" s="105"/>
      <c r="AB390" s="105"/>
      <c r="AC390" s="105"/>
      <c r="AD390" s="105"/>
      <c r="AE390" s="204"/>
      <c r="AF390" s="104"/>
      <c r="AG390" s="311"/>
      <c r="AH390" s="105"/>
      <c r="AI390" s="105"/>
      <c r="AJ390" s="104"/>
      <c r="AK390" s="104"/>
      <c r="AL390" s="104"/>
      <c r="AM390" s="104"/>
      <c r="AN390" s="104"/>
      <c r="AO390" s="104"/>
      <c r="AP390" s="104"/>
      <c r="AQ390" s="104"/>
      <c r="AR390" s="104"/>
      <c r="AS390" s="104"/>
      <c r="AT390" s="104"/>
      <c r="AU390" s="104"/>
      <c r="AV390" s="104"/>
      <c r="AW390" s="104"/>
      <c r="AX390" s="104"/>
      <c r="AY390" s="104"/>
      <c r="AZ390" s="104"/>
      <c r="BA390" s="104"/>
      <c r="BB390" s="104"/>
      <c r="BC390" s="104"/>
      <c r="BD390" s="104"/>
      <c r="BE390" s="104"/>
      <c r="BF390" s="104"/>
    </row>
    <row r="391" spans="18:58" x14ac:dyDescent="0.2">
      <c r="R391" s="310"/>
      <c r="S391" s="308"/>
      <c r="T391" s="104"/>
      <c r="U391" s="104"/>
      <c r="V391" s="104"/>
      <c r="W391" s="110"/>
      <c r="X391" s="104"/>
      <c r="Y391" s="104"/>
      <c r="Z391" s="105"/>
      <c r="AA391" s="105"/>
      <c r="AB391" s="105"/>
      <c r="AC391" s="105"/>
      <c r="AD391" s="105"/>
      <c r="AE391" s="204"/>
      <c r="AF391" s="104"/>
      <c r="AG391" s="311"/>
      <c r="AH391" s="105"/>
      <c r="AI391" s="105"/>
      <c r="AJ391" s="104"/>
      <c r="AK391" s="104"/>
      <c r="AL391" s="104"/>
      <c r="AM391" s="104"/>
      <c r="AN391" s="104"/>
      <c r="AO391" s="104"/>
      <c r="AP391" s="104"/>
      <c r="AQ391" s="104"/>
      <c r="AR391" s="104"/>
      <c r="AS391" s="104"/>
      <c r="AT391" s="104"/>
      <c r="AU391" s="104"/>
      <c r="AV391" s="104"/>
      <c r="AW391" s="104"/>
      <c r="AX391" s="104"/>
      <c r="AY391" s="104"/>
      <c r="AZ391" s="104"/>
      <c r="BA391" s="104"/>
      <c r="BB391" s="104"/>
      <c r="BC391" s="104"/>
      <c r="BD391" s="104"/>
      <c r="BE391" s="104"/>
      <c r="BF391" s="104"/>
    </row>
    <row r="392" spans="18:58" x14ac:dyDescent="0.2">
      <c r="R392" s="310"/>
      <c r="S392" s="308"/>
      <c r="T392" s="104"/>
      <c r="U392" s="104"/>
      <c r="V392" s="104"/>
      <c r="W392" s="110"/>
      <c r="X392" s="104"/>
      <c r="Y392" s="104"/>
      <c r="Z392" s="105"/>
      <c r="AA392" s="105"/>
      <c r="AB392" s="105"/>
      <c r="AC392" s="105"/>
      <c r="AD392" s="105"/>
      <c r="AE392" s="204"/>
      <c r="AF392" s="104"/>
      <c r="AG392" s="311"/>
      <c r="AH392" s="105"/>
      <c r="AI392" s="105"/>
      <c r="AJ392" s="104"/>
      <c r="AK392" s="104"/>
      <c r="AL392" s="104"/>
      <c r="AM392" s="104"/>
      <c r="AN392" s="104"/>
      <c r="AO392" s="104"/>
      <c r="AP392" s="104"/>
      <c r="AQ392" s="104"/>
      <c r="AR392" s="104"/>
      <c r="AS392" s="104"/>
      <c r="AT392" s="104"/>
      <c r="AU392" s="104"/>
      <c r="AV392" s="104"/>
      <c r="AW392" s="104"/>
      <c r="AX392" s="104"/>
      <c r="AY392" s="104"/>
      <c r="AZ392" s="104"/>
      <c r="BA392" s="104"/>
      <c r="BB392" s="104"/>
      <c r="BC392" s="104"/>
      <c r="BD392" s="104"/>
      <c r="BE392" s="104"/>
      <c r="BF392" s="104"/>
    </row>
    <row r="393" spans="18:58" x14ac:dyDescent="0.2">
      <c r="R393" s="310"/>
      <c r="S393" s="308"/>
      <c r="T393" s="104"/>
      <c r="U393" s="104"/>
      <c r="V393" s="104"/>
      <c r="W393" s="110"/>
      <c r="X393" s="104"/>
      <c r="Y393" s="104"/>
      <c r="Z393" s="105"/>
      <c r="AA393" s="105"/>
      <c r="AB393" s="105"/>
      <c r="AC393" s="105"/>
      <c r="AD393" s="105"/>
      <c r="AE393" s="204"/>
      <c r="AF393" s="104"/>
      <c r="AG393" s="311"/>
      <c r="AH393" s="105"/>
      <c r="AI393" s="105"/>
      <c r="AJ393" s="104"/>
      <c r="AK393" s="104"/>
      <c r="AL393" s="104"/>
      <c r="AM393" s="104"/>
      <c r="AN393" s="104"/>
      <c r="AO393" s="104"/>
      <c r="AP393" s="104"/>
      <c r="AQ393" s="104"/>
      <c r="AR393" s="104"/>
      <c r="AS393" s="104"/>
      <c r="AT393" s="104"/>
      <c r="AU393" s="104"/>
      <c r="AV393" s="104"/>
      <c r="AW393" s="104"/>
      <c r="AX393" s="104"/>
      <c r="AY393" s="104"/>
      <c r="AZ393" s="104"/>
      <c r="BA393" s="104"/>
      <c r="BB393" s="104"/>
      <c r="BC393" s="104"/>
      <c r="BD393" s="104"/>
      <c r="BE393" s="104"/>
      <c r="BF393" s="104"/>
    </row>
    <row r="394" spans="18:58" x14ac:dyDescent="0.2">
      <c r="R394" s="310"/>
      <c r="S394" s="308"/>
      <c r="T394" s="104"/>
      <c r="U394" s="104"/>
      <c r="V394" s="104"/>
      <c r="W394" s="110"/>
      <c r="X394" s="104"/>
      <c r="Y394" s="104"/>
      <c r="Z394" s="105"/>
      <c r="AA394" s="105"/>
      <c r="AB394" s="105"/>
      <c r="AC394" s="105"/>
      <c r="AD394" s="105"/>
      <c r="AE394" s="204"/>
      <c r="AF394" s="104"/>
      <c r="AG394" s="311"/>
      <c r="AH394" s="105"/>
      <c r="AI394" s="105"/>
      <c r="AJ394" s="104"/>
      <c r="AK394" s="104"/>
      <c r="AL394" s="104"/>
      <c r="AM394" s="104"/>
      <c r="AN394" s="104"/>
      <c r="AO394" s="104"/>
      <c r="AP394" s="104"/>
      <c r="AQ394" s="104"/>
      <c r="AR394" s="104"/>
      <c r="AS394" s="104"/>
      <c r="AT394" s="104"/>
      <c r="AU394" s="104"/>
      <c r="AV394" s="104"/>
      <c r="AW394" s="104"/>
      <c r="AX394" s="104"/>
      <c r="AY394" s="104"/>
      <c r="AZ394" s="104"/>
      <c r="BA394" s="104"/>
      <c r="BB394" s="104"/>
      <c r="BC394" s="104"/>
      <c r="BD394" s="104"/>
      <c r="BE394" s="104"/>
      <c r="BF394" s="104"/>
    </row>
    <row r="395" spans="18:58" x14ac:dyDescent="0.2">
      <c r="R395" s="310"/>
      <c r="S395" s="308"/>
      <c r="T395" s="104"/>
      <c r="U395" s="104"/>
      <c r="V395" s="104"/>
      <c r="W395" s="110"/>
      <c r="X395" s="104"/>
      <c r="Y395" s="104"/>
      <c r="Z395" s="105"/>
      <c r="AA395" s="105"/>
      <c r="AB395" s="105"/>
      <c r="AC395" s="105"/>
      <c r="AD395" s="105"/>
      <c r="AE395" s="204"/>
      <c r="AF395" s="105"/>
      <c r="AG395" s="105"/>
      <c r="AH395" s="105"/>
      <c r="AI395" s="105"/>
      <c r="AJ395" s="104"/>
      <c r="AK395" s="104"/>
      <c r="AL395" s="104"/>
      <c r="AM395" s="104"/>
      <c r="AN395" s="104"/>
      <c r="AO395" s="104"/>
      <c r="AP395" s="104"/>
      <c r="AQ395" s="104"/>
      <c r="AR395" s="104"/>
      <c r="AS395" s="104"/>
      <c r="AT395" s="104"/>
      <c r="AU395" s="104"/>
      <c r="AV395" s="104"/>
      <c r="AW395" s="104"/>
      <c r="AX395" s="104"/>
      <c r="AY395" s="104"/>
      <c r="AZ395" s="104"/>
      <c r="BA395" s="104"/>
      <c r="BB395" s="104"/>
      <c r="BC395" s="104"/>
      <c r="BD395" s="104"/>
      <c r="BE395" s="104"/>
      <c r="BF395" s="104"/>
    </row>
    <row r="396" spans="18:58" x14ac:dyDescent="0.2">
      <c r="R396" s="310"/>
      <c r="S396" s="308"/>
      <c r="T396" s="104"/>
      <c r="U396" s="104"/>
      <c r="V396" s="104"/>
      <c r="W396" s="110"/>
      <c r="X396" s="104"/>
      <c r="Y396" s="104"/>
      <c r="Z396" s="105"/>
      <c r="AA396" s="105"/>
      <c r="AB396" s="105"/>
      <c r="AC396" s="105"/>
      <c r="AD396" s="105"/>
      <c r="AE396" s="312"/>
      <c r="AF396" s="146"/>
      <c r="AG396" s="105"/>
      <c r="AH396" s="105"/>
      <c r="AI396" s="105"/>
      <c r="AJ396" s="104"/>
      <c r="AK396" s="104"/>
      <c r="AL396" s="104"/>
      <c r="AM396" s="104"/>
      <c r="AN396" s="104"/>
      <c r="AO396" s="104"/>
      <c r="AP396" s="104"/>
      <c r="AQ396" s="104"/>
      <c r="AR396" s="104"/>
      <c r="AS396" s="104"/>
      <c r="AT396" s="104"/>
      <c r="AU396" s="104"/>
      <c r="AV396" s="104"/>
      <c r="AW396" s="104"/>
      <c r="AX396" s="104"/>
      <c r="AY396" s="104"/>
      <c r="AZ396" s="104"/>
      <c r="BA396" s="104"/>
      <c r="BB396" s="104"/>
      <c r="BC396" s="104"/>
      <c r="BD396" s="104"/>
      <c r="BE396" s="104"/>
      <c r="BF396" s="104"/>
    </row>
    <row r="397" spans="18:58" x14ac:dyDescent="0.2">
      <c r="R397" s="310"/>
      <c r="S397" s="308"/>
      <c r="T397" s="104"/>
      <c r="U397" s="104"/>
      <c r="V397" s="104"/>
      <c r="W397" s="110"/>
      <c r="X397" s="104"/>
      <c r="Y397" s="104"/>
      <c r="Z397" s="105"/>
      <c r="AA397" s="105"/>
      <c r="AB397" s="105"/>
      <c r="AC397" s="105"/>
      <c r="AD397" s="105"/>
      <c r="AE397" s="312"/>
      <c r="AF397" s="146"/>
      <c r="AG397" s="105"/>
      <c r="AH397" s="105"/>
      <c r="AI397" s="105"/>
      <c r="AJ397" s="104"/>
      <c r="AK397" s="104"/>
      <c r="AL397" s="104"/>
      <c r="AM397" s="104"/>
      <c r="AN397" s="104"/>
      <c r="AO397" s="104"/>
      <c r="AP397" s="104"/>
      <c r="AQ397" s="104"/>
      <c r="AR397" s="104"/>
      <c r="AS397" s="104"/>
      <c r="AT397" s="104"/>
      <c r="AU397" s="104"/>
      <c r="AV397" s="104"/>
      <c r="AW397" s="104"/>
      <c r="AX397" s="104"/>
      <c r="AY397" s="104"/>
      <c r="AZ397" s="104"/>
      <c r="BA397" s="104"/>
      <c r="BB397" s="104"/>
      <c r="BC397" s="104"/>
      <c r="BD397" s="104"/>
      <c r="BE397" s="104"/>
      <c r="BF397" s="104"/>
    </row>
    <row r="398" spans="18:58" x14ac:dyDescent="0.2">
      <c r="R398" s="310"/>
      <c r="S398" s="308"/>
      <c r="T398" s="104"/>
      <c r="U398" s="104"/>
      <c r="V398" s="104"/>
      <c r="W398" s="110"/>
      <c r="X398" s="104"/>
      <c r="Y398" s="104"/>
      <c r="Z398" s="104"/>
      <c r="AA398" s="104"/>
      <c r="AB398" s="105"/>
      <c r="AC398" s="104"/>
      <c r="AD398" s="105"/>
      <c r="AE398" s="312"/>
      <c r="AF398" s="146"/>
      <c r="AG398" s="105"/>
      <c r="AH398" s="105"/>
      <c r="AI398" s="105"/>
      <c r="AJ398" s="104"/>
      <c r="AK398" s="104"/>
      <c r="AL398" s="104"/>
      <c r="AM398" s="104"/>
      <c r="AN398" s="104"/>
      <c r="AO398" s="104"/>
      <c r="AP398" s="104"/>
      <c r="AQ398" s="104"/>
      <c r="AR398" s="104"/>
      <c r="AS398" s="104"/>
      <c r="AT398" s="104"/>
      <c r="AU398" s="104"/>
      <c r="AV398" s="104"/>
      <c r="AW398" s="104"/>
      <c r="AX398" s="104"/>
      <c r="AY398" s="104"/>
      <c r="AZ398" s="104"/>
      <c r="BA398" s="104"/>
      <c r="BB398" s="104"/>
      <c r="BC398" s="104"/>
      <c r="BD398" s="104"/>
      <c r="BE398" s="104"/>
      <c r="BF398" s="104"/>
    </row>
    <row r="399" spans="18:58" x14ac:dyDescent="0.2">
      <c r="R399" s="310"/>
      <c r="S399" s="308"/>
      <c r="T399" s="104"/>
      <c r="U399" s="104"/>
      <c r="V399" s="104"/>
      <c r="W399" s="110"/>
      <c r="X399" s="104"/>
      <c r="Y399" s="104"/>
      <c r="Z399" s="104"/>
      <c r="AA399" s="104"/>
      <c r="AB399" s="104"/>
      <c r="AC399" s="104"/>
      <c r="AD399" s="105"/>
      <c r="AE399" s="204"/>
      <c r="AF399" s="105"/>
      <c r="AG399" s="105"/>
      <c r="AH399" s="105"/>
      <c r="AI399" s="105"/>
      <c r="AJ399" s="104"/>
      <c r="AK399" s="104"/>
      <c r="AL399" s="104"/>
      <c r="AM399" s="104"/>
      <c r="AN399" s="104"/>
      <c r="AO399" s="104"/>
      <c r="AP399" s="104"/>
      <c r="AQ399" s="104"/>
      <c r="AR399" s="104"/>
      <c r="AS399" s="104"/>
      <c r="AT399" s="104"/>
      <c r="AU399" s="104"/>
      <c r="AV399" s="104"/>
      <c r="AW399" s="104"/>
      <c r="AX399" s="104"/>
      <c r="AY399" s="104"/>
      <c r="AZ399" s="104"/>
      <c r="BA399" s="104"/>
      <c r="BB399" s="104"/>
      <c r="BC399" s="104"/>
      <c r="BD399" s="104"/>
      <c r="BE399" s="104"/>
      <c r="BF399" s="104"/>
    </row>
    <row r="400" spans="18:58" x14ac:dyDescent="0.2">
      <c r="R400" s="310"/>
      <c r="S400" s="308"/>
      <c r="T400" s="104"/>
      <c r="U400" s="104"/>
      <c r="V400" s="104"/>
      <c r="W400" s="110"/>
      <c r="X400" s="104"/>
      <c r="Y400" s="104"/>
      <c r="Z400" s="104"/>
      <c r="AA400" s="104"/>
      <c r="AB400" s="104"/>
      <c r="AC400" s="104"/>
      <c r="AD400" s="104"/>
      <c r="AE400" s="307"/>
      <c r="AF400" s="104"/>
      <c r="AG400" s="104"/>
      <c r="AH400" s="104"/>
      <c r="AI400" s="104"/>
      <c r="AJ400" s="104"/>
      <c r="AK400" s="104"/>
      <c r="AL400" s="104"/>
      <c r="AM400" s="104"/>
      <c r="AN400" s="104"/>
      <c r="AO400" s="104"/>
      <c r="AP400" s="104"/>
      <c r="AQ400" s="104"/>
      <c r="AR400" s="104"/>
      <c r="AS400" s="104"/>
      <c r="AT400" s="104"/>
      <c r="AU400" s="104"/>
      <c r="AV400" s="104"/>
      <c r="AW400" s="104"/>
      <c r="AX400" s="104"/>
      <c r="AY400" s="104"/>
      <c r="AZ400" s="104"/>
      <c r="BA400" s="104"/>
      <c r="BB400" s="104"/>
      <c r="BC400" s="104"/>
      <c r="BD400" s="104"/>
      <c r="BE400" s="104"/>
      <c r="BF400" s="104"/>
    </row>
    <row r="401" spans="18:58" x14ac:dyDescent="0.2">
      <c r="R401" s="310"/>
      <c r="S401" s="308"/>
      <c r="T401" s="104"/>
      <c r="U401" s="104"/>
      <c r="V401" s="104"/>
      <c r="W401" s="110"/>
      <c r="X401" s="104"/>
      <c r="Y401" s="104"/>
      <c r="Z401" s="104"/>
      <c r="AA401" s="104"/>
      <c r="AB401" s="104"/>
      <c r="AC401" s="104"/>
      <c r="AD401" s="104"/>
      <c r="AE401" s="307"/>
      <c r="AF401" s="104"/>
      <c r="AG401" s="104"/>
      <c r="AH401" s="104"/>
      <c r="AI401" s="104"/>
      <c r="AJ401" s="104"/>
      <c r="AK401" s="104"/>
      <c r="AL401" s="104"/>
      <c r="AM401" s="104"/>
      <c r="AN401" s="104"/>
      <c r="AO401" s="104"/>
      <c r="AP401" s="104"/>
      <c r="AQ401" s="104"/>
      <c r="AR401" s="104"/>
      <c r="AS401" s="104"/>
      <c r="AT401" s="104"/>
      <c r="AU401" s="104"/>
      <c r="AV401" s="104"/>
      <c r="AW401" s="104"/>
      <c r="AX401" s="104"/>
      <c r="AY401" s="104"/>
      <c r="AZ401" s="104"/>
      <c r="BA401" s="104"/>
      <c r="BB401" s="104"/>
      <c r="BC401" s="104"/>
      <c r="BD401" s="104"/>
      <c r="BE401" s="104"/>
      <c r="BF401" s="104"/>
    </row>
    <row r="402" spans="18:58" x14ac:dyDescent="0.2">
      <c r="R402" s="310"/>
      <c r="S402" s="308"/>
      <c r="T402" s="104"/>
      <c r="U402" s="104"/>
      <c r="V402" s="104"/>
      <c r="W402" s="110"/>
      <c r="X402" s="104"/>
      <c r="Y402" s="104"/>
      <c r="Z402" s="104"/>
      <c r="AA402" s="104"/>
      <c r="AB402" s="104"/>
      <c r="AC402" s="104"/>
      <c r="AD402" s="104"/>
      <c r="AE402" s="307"/>
      <c r="AF402" s="104"/>
      <c r="AG402" s="104"/>
      <c r="AH402" s="104"/>
      <c r="AI402" s="104"/>
      <c r="AJ402" s="104"/>
      <c r="AK402" s="104"/>
      <c r="AL402" s="104"/>
      <c r="AM402" s="104"/>
      <c r="AN402" s="104"/>
      <c r="AO402" s="104"/>
      <c r="AP402" s="104"/>
      <c r="AQ402" s="104"/>
      <c r="AR402" s="104"/>
      <c r="AS402" s="104"/>
      <c r="AT402" s="104"/>
      <c r="AU402" s="104"/>
      <c r="AV402" s="104"/>
      <c r="AW402" s="104"/>
      <c r="AX402" s="104"/>
      <c r="AY402" s="104"/>
      <c r="AZ402" s="104"/>
      <c r="BA402" s="104"/>
      <c r="BB402" s="104"/>
      <c r="BC402" s="104"/>
      <c r="BD402" s="104"/>
      <c r="BE402" s="104"/>
      <c r="BF402" s="104"/>
    </row>
    <row r="403" spans="18:58" x14ac:dyDescent="0.2">
      <c r="R403" s="310"/>
      <c r="S403" s="308"/>
      <c r="T403" s="104"/>
      <c r="U403" s="104"/>
      <c r="V403" s="104"/>
      <c r="W403" s="110"/>
      <c r="X403" s="104"/>
      <c r="Y403" s="104"/>
      <c r="Z403" s="104"/>
      <c r="AA403" s="104"/>
      <c r="AB403" s="104"/>
      <c r="AC403" s="104"/>
      <c r="AD403" s="104"/>
      <c r="AE403" s="307"/>
      <c r="AF403" s="104"/>
      <c r="AG403" s="104"/>
      <c r="AH403" s="104"/>
      <c r="AI403" s="104"/>
      <c r="AJ403" s="104"/>
      <c r="AK403" s="104"/>
      <c r="AL403" s="104"/>
      <c r="AM403" s="104"/>
      <c r="AN403" s="104"/>
      <c r="AO403" s="104"/>
      <c r="AP403" s="104"/>
      <c r="AQ403" s="104"/>
      <c r="AR403" s="104"/>
      <c r="AS403" s="104"/>
      <c r="AT403" s="104"/>
      <c r="AU403" s="104"/>
      <c r="AV403" s="104"/>
      <c r="AW403" s="104"/>
      <c r="AX403" s="104"/>
      <c r="AY403" s="104"/>
      <c r="AZ403" s="104"/>
      <c r="BA403" s="104"/>
      <c r="BB403" s="104"/>
      <c r="BC403" s="104"/>
      <c r="BD403" s="104"/>
      <c r="BE403" s="104"/>
      <c r="BF403" s="104"/>
    </row>
    <row r="404" spans="18:58" x14ac:dyDescent="0.2">
      <c r="R404" s="310"/>
      <c r="S404" s="308"/>
      <c r="T404" s="104"/>
      <c r="U404" s="104"/>
      <c r="V404" s="104"/>
      <c r="W404" s="110"/>
      <c r="X404" s="104"/>
      <c r="Y404" s="104"/>
      <c r="Z404" s="104"/>
      <c r="AA404" s="104"/>
      <c r="AB404" s="104"/>
      <c r="AC404" s="104"/>
      <c r="AD404" s="104"/>
      <c r="AE404" s="307"/>
      <c r="AF404" s="104"/>
      <c r="AG404" s="104"/>
      <c r="AH404" s="104"/>
      <c r="AI404" s="104"/>
      <c r="AJ404" s="104"/>
      <c r="AK404" s="104"/>
      <c r="AL404" s="104"/>
      <c r="AM404" s="104"/>
      <c r="AN404" s="104"/>
      <c r="AO404" s="104"/>
      <c r="AP404" s="104"/>
      <c r="AQ404" s="104"/>
      <c r="AR404" s="104"/>
      <c r="AS404" s="104"/>
      <c r="AT404" s="104"/>
      <c r="AU404" s="104"/>
      <c r="AV404" s="104"/>
      <c r="AW404" s="104"/>
      <c r="AX404" s="104"/>
      <c r="AY404" s="104"/>
      <c r="AZ404" s="104"/>
      <c r="BA404" s="104"/>
      <c r="BB404" s="104"/>
      <c r="BC404" s="104"/>
      <c r="BD404" s="104"/>
      <c r="BE404" s="104"/>
      <c r="BF404" s="104"/>
    </row>
    <row r="405" spans="18:58" x14ac:dyDescent="0.2">
      <c r="R405" s="310"/>
      <c r="S405" s="308"/>
      <c r="T405" s="104"/>
      <c r="U405" s="104"/>
      <c r="V405" s="104"/>
      <c r="W405" s="110"/>
      <c r="X405" s="104"/>
      <c r="Y405" s="104"/>
      <c r="Z405" s="104"/>
      <c r="AA405" s="104"/>
      <c r="AB405" s="104"/>
      <c r="AC405" s="104"/>
      <c r="AD405" s="104"/>
      <c r="AE405" s="307"/>
      <c r="AF405" s="104"/>
      <c r="AG405" s="104"/>
      <c r="AH405" s="104"/>
      <c r="AI405" s="104"/>
      <c r="AJ405" s="104"/>
      <c r="AK405" s="104"/>
      <c r="AL405" s="104"/>
      <c r="AM405" s="104"/>
      <c r="AN405" s="104"/>
      <c r="AO405" s="104"/>
      <c r="AP405" s="104"/>
      <c r="AQ405" s="104"/>
      <c r="AR405" s="104"/>
      <c r="AS405" s="104"/>
      <c r="AT405" s="104"/>
      <c r="AU405" s="104"/>
      <c r="AV405" s="104"/>
      <c r="AW405" s="104"/>
      <c r="AX405" s="104"/>
      <c r="AY405" s="104"/>
      <c r="AZ405" s="104"/>
      <c r="BA405" s="104"/>
      <c r="BB405" s="104"/>
      <c r="BC405" s="104"/>
      <c r="BD405" s="104"/>
      <c r="BE405" s="104"/>
      <c r="BF405" s="104"/>
    </row>
    <row r="406" spans="18:58" x14ac:dyDescent="0.2">
      <c r="R406" s="310"/>
      <c r="S406" s="308"/>
      <c r="T406" s="104"/>
      <c r="U406" s="104"/>
      <c r="V406" s="104"/>
      <c r="W406" s="110"/>
      <c r="X406" s="104"/>
      <c r="Y406" s="104"/>
      <c r="Z406" s="104"/>
      <c r="AA406" s="104"/>
      <c r="AB406" s="104"/>
      <c r="AC406" s="104"/>
      <c r="AD406" s="104"/>
      <c r="AE406" s="307"/>
      <c r="AF406" s="104"/>
      <c r="AG406" s="104"/>
      <c r="AH406" s="104"/>
      <c r="AI406" s="104"/>
      <c r="AJ406" s="104"/>
      <c r="AK406" s="104"/>
      <c r="AL406" s="104"/>
      <c r="AM406" s="104"/>
      <c r="AN406" s="104"/>
      <c r="AO406" s="104"/>
      <c r="AP406" s="104"/>
      <c r="AQ406" s="104"/>
      <c r="AR406" s="104"/>
      <c r="AS406" s="104"/>
      <c r="AT406" s="104"/>
      <c r="AU406" s="104"/>
      <c r="AV406" s="104"/>
      <c r="AW406" s="104"/>
      <c r="AX406" s="104"/>
      <c r="AY406" s="104"/>
      <c r="AZ406" s="104"/>
      <c r="BA406" s="104"/>
      <c r="BB406" s="104"/>
      <c r="BC406" s="104"/>
      <c r="BD406" s="104"/>
      <c r="BE406" s="104"/>
      <c r="BF406" s="104"/>
    </row>
    <row r="407" spans="18:58" x14ac:dyDescent="0.2">
      <c r="R407" s="310"/>
      <c r="S407" s="308"/>
      <c r="T407" s="104"/>
      <c r="U407" s="104"/>
      <c r="V407" s="104"/>
      <c r="W407" s="110"/>
      <c r="X407" s="104"/>
      <c r="Y407" s="104"/>
      <c r="Z407" s="104"/>
      <c r="AA407" s="104"/>
      <c r="AB407" s="104"/>
      <c r="AC407" s="104"/>
      <c r="AD407" s="104"/>
      <c r="AE407" s="307"/>
      <c r="AF407" s="104"/>
      <c r="AG407" s="104"/>
      <c r="AH407" s="104"/>
      <c r="AI407" s="104"/>
      <c r="AJ407" s="104"/>
      <c r="AK407" s="104"/>
      <c r="AL407" s="104"/>
      <c r="AM407" s="104"/>
      <c r="AN407" s="104"/>
      <c r="AO407" s="104"/>
      <c r="AP407" s="104"/>
      <c r="AQ407" s="104"/>
      <c r="AR407" s="104"/>
      <c r="AS407" s="104"/>
      <c r="AT407" s="104"/>
      <c r="AU407" s="104"/>
      <c r="AV407" s="104"/>
      <c r="AW407" s="104"/>
      <c r="AX407" s="104"/>
      <c r="AY407" s="104"/>
      <c r="AZ407" s="104"/>
      <c r="BA407" s="104"/>
      <c r="BB407" s="104"/>
      <c r="BC407" s="104"/>
      <c r="BD407" s="104"/>
      <c r="BE407" s="104"/>
      <c r="BF407" s="104"/>
    </row>
    <row r="408" spans="18:58" x14ac:dyDescent="0.2">
      <c r="R408" s="310"/>
      <c r="S408" s="308"/>
      <c r="T408" s="104"/>
      <c r="U408" s="104"/>
      <c r="V408" s="104"/>
      <c r="W408" s="110"/>
      <c r="X408" s="104"/>
      <c r="Y408" s="104"/>
      <c r="Z408" s="104"/>
      <c r="AA408" s="104"/>
      <c r="AB408" s="104"/>
      <c r="AC408" s="104"/>
      <c r="AD408" s="104"/>
      <c r="AE408" s="307"/>
      <c r="AF408" s="104"/>
      <c r="AG408" s="104"/>
      <c r="AH408" s="104"/>
      <c r="AI408" s="104"/>
      <c r="AJ408" s="104"/>
      <c r="AK408" s="104"/>
      <c r="AL408" s="104"/>
      <c r="AM408" s="104"/>
      <c r="AN408" s="104"/>
      <c r="AO408" s="104"/>
      <c r="AP408" s="104"/>
      <c r="AQ408" s="104"/>
      <c r="AR408" s="104"/>
      <c r="AS408" s="104"/>
      <c r="AT408" s="104"/>
      <c r="AU408" s="104"/>
      <c r="AV408" s="104"/>
      <c r="AW408" s="104"/>
      <c r="AX408" s="104"/>
      <c r="AY408" s="104"/>
      <c r="AZ408" s="104"/>
      <c r="BA408" s="104"/>
      <c r="BB408" s="104"/>
      <c r="BC408" s="104"/>
      <c r="BD408" s="104"/>
      <c r="BE408" s="104"/>
      <c r="BF408" s="104"/>
    </row>
    <row r="409" spans="18:58" x14ac:dyDescent="0.2">
      <c r="R409" s="310"/>
      <c r="S409" s="308"/>
      <c r="T409" s="104"/>
      <c r="U409" s="104"/>
      <c r="V409" s="104"/>
      <c r="W409" s="110"/>
      <c r="X409" s="104"/>
      <c r="Y409" s="104"/>
      <c r="Z409" s="104"/>
      <c r="AA409" s="104"/>
      <c r="AB409" s="104"/>
      <c r="AC409" s="104"/>
      <c r="AD409" s="104"/>
      <c r="AE409" s="307"/>
      <c r="AF409" s="104"/>
      <c r="AG409" s="104"/>
      <c r="AH409" s="104"/>
      <c r="AI409" s="104"/>
      <c r="AJ409" s="104"/>
      <c r="AK409" s="104"/>
      <c r="AL409" s="104"/>
      <c r="AM409" s="104"/>
      <c r="AN409" s="104"/>
      <c r="AO409" s="104"/>
      <c r="AP409" s="104"/>
      <c r="AQ409" s="104"/>
      <c r="AR409" s="104"/>
      <c r="AS409" s="104"/>
      <c r="AT409" s="104"/>
      <c r="AU409" s="104"/>
      <c r="AV409" s="104"/>
      <c r="AW409" s="104"/>
      <c r="AX409" s="104"/>
      <c r="AY409" s="104"/>
      <c r="AZ409" s="104"/>
      <c r="BA409" s="104"/>
      <c r="BB409" s="104"/>
      <c r="BC409" s="104"/>
      <c r="BD409" s="104"/>
      <c r="BE409" s="104"/>
      <c r="BF409" s="104"/>
    </row>
    <row r="410" spans="18:58" x14ac:dyDescent="0.2">
      <c r="R410" s="310"/>
      <c r="V410" s="104"/>
      <c r="W410" s="110"/>
      <c r="X410" s="104"/>
      <c r="Y410" s="104"/>
      <c r="Z410" s="104"/>
      <c r="AA410" s="104"/>
      <c r="AB410" s="104"/>
      <c r="AC410" s="104"/>
      <c r="AD410" s="104"/>
      <c r="AE410" s="307"/>
      <c r="AF410" s="104"/>
      <c r="AG410" s="104"/>
      <c r="AH410" s="104"/>
      <c r="AI410" s="104"/>
      <c r="AJ410" s="104"/>
      <c r="AK410" s="104"/>
      <c r="AL410" s="104"/>
      <c r="AM410" s="104"/>
      <c r="AN410" s="104"/>
      <c r="AO410" s="104"/>
      <c r="AP410" s="104"/>
      <c r="AQ410" s="104"/>
      <c r="AR410" s="104"/>
      <c r="AS410" s="104"/>
      <c r="AT410" s="104"/>
      <c r="AU410" s="104"/>
      <c r="AV410" s="104"/>
      <c r="AW410" s="104"/>
      <c r="AX410" s="104"/>
      <c r="AY410" s="104"/>
      <c r="AZ410" s="104"/>
      <c r="BA410" s="104"/>
      <c r="BB410" s="104"/>
      <c r="BC410" s="104"/>
      <c r="BD410" s="104"/>
      <c r="BE410" s="104"/>
      <c r="BF410" s="104"/>
    </row>
    <row r="411" spans="18:58" x14ac:dyDescent="0.2">
      <c r="R411" s="310"/>
      <c r="V411" s="104"/>
      <c r="W411" s="110"/>
      <c r="X411" s="104"/>
      <c r="Y411" s="104"/>
      <c r="Z411" s="104"/>
      <c r="AA411" s="104"/>
      <c r="AB411" s="104"/>
      <c r="AC411" s="104"/>
      <c r="AD411" s="104"/>
      <c r="AE411" s="307"/>
      <c r="AF411" s="104"/>
      <c r="AG411" s="104"/>
      <c r="AH411" s="104"/>
      <c r="AI411" s="104"/>
      <c r="AJ411" s="104"/>
      <c r="AK411" s="104"/>
      <c r="AL411" s="104"/>
      <c r="AM411" s="104"/>
      <c r="AN411" s="104"/>
      <c r="AO411" s="104"/>
      <c r="AP411" s="104"/>
      <c r="AQ411" s="104"/>
      <c r="AR411" s="104"/>
      <c r="AS411" s="104"/>
      <c r="AT411" s="104"/>
      <c r="AU411" s="104"/>
      <c r="AV411" s="104"/>
      <c r="AW411" s="104"/>
      <c r="AX411" s="104"/>
      <c r="AY411" s="104"/>
      <c r="AZ411" s="104"/>
      <c r="BA411" s="104"/>
      <c r="BB411" s="104"/>
      <c r="BC411" s="104"/>
      <c r="BD411" s="104"/>
      <c r="BE411" s="104"/>
      <c r="BF411" s="104"/>
    </row>
    <row r="412" spans="18:58" x14ac:dyDescent="0.2">
      <c r="R412" s="310"/>
      <c r="V412" s="104"/>
      <c r="W412" s="110"/>
      <c r="X412" s="104"/>
      <c r="Y412" s="104"/>
      <c r="Z412" s="104"/>
      <c r="AA412" s="104"/>
      <c r="AB412" s="104"/>
      <c r="AC412" s="104"/>
      <c r="AD412" s="104"/>
      <c r="AE412" s="307"/>
      <c r="AF412" s="104"/>
      <c r="AG412" s="104"/>
      <c r="AH412" s="104"/>
      <c r="AI412" s="104"/>
      <c r="AJ412" s="104"/>
      <c r="AK412" s="104"/>
      <c r="AL412" s="104"/>
      <c r="AM412" s="104"/>
      <c r="AN412" s="104"/>
      <c r="AO412" s="104"/>
      <c r="AP412" s="104"/>
      <c r="AQ412" s="104"/>
      <c r="AR412" s="104"/>
      <c r="AS412" s="104"/>
      <c r="AT412" s="104"/>
      <c r="AU412" s="104"/>
      <c r="AV412" s="104"/>
      <c r="AW412" s="104"/>
      <c r="AX412" s="104"/>
      <c r="AY412" s="104"/>
      <c r="AZ412" s="104"/>
      <c r="BA412" s="104"/>
      <c r="BB412" s="104"/>
      <c r="BC412" s="104"/>
      <c r="BD412" s="104"/>
      <c r="BE412" s="104"/>
      <c r="BF412" s="104"/>
    </row>
    <row r="413" spans="18:58" x14ac:dyDescent="0.2">
      <c r="R413" s="310"/>
      <c r="V413" s="104"/>
      <c r="W413" s="110"/>
      <c r="X413" s="104"/>
      <c r="Y413" s="104"/>
      <c r="Z413" s="104"/>
      <c r="AA413" s="104"/>
      <c r="AB413" s="104"/>
      <c r="AC413" s="104"/>
      <c r="AD413" s="104"/>
      <c r="AE413" s="307"/>
      <c r="AF413" s="104"/>
      <c r="AG413" s="104"/>
      <c r="AH413" s="104"/>
      <c r="AI413" s="104"/>
      <c r="AJ413" s="104"/>
      <c r="AK413" s="104"/>
      <c r="AL413" s="104"/>
      <c r="AM413" s="104"/>
      <c r="AN413" s="104"/>
      <c r="AO413" s="104"/>
      <c r="AP413" s="104"/>
      <c r="AQ413" s="104"/>
      <c r="AR413" s="104"/>
      <c r="AS413" s="104"/>
      <c r="AT413" s="104"/>
      <c r="AU413" s="104"/>
      <c r="AV413" s="104"/>
      <c r="AW413" s="104"/>
      <c r="AX413" s="104"/>
      <c r="AY413" s="104"/>
      <c r="AZ413" s="104"/>
      <c r="BA413" s="104"/>
      <c r="BB413" s="104"/>
      <c r="BC413" s="104"/>
      <c r="BD413" s="104"/>
      <c r="BE413" s="104"/>
      <c r="BF413" s="104"/>
    </row>
    <row r="414" spans="18:58" x14ac:dyDescent="0.2">
      <c r="R414" s="310"/>
      <c r="V414" s="104"/>
      <c r="W414" s="110"/>
      <c r="X414" s="104"/>
      <c r="Y414" s="104"/>
      <c r="Z414" s="104"/>
      <c r="AA414" s="104"/>
      <c r="AB414" s="104"/>
      <c r="AC414" s="104"/>
      <c r="AD414" s="104"/>
      <c r="AE414" s="307"/>
      <c r="AF414" s="104"/>
      <c r="AG414" s="104"/>
      <c r="AH414" s="104"/>
      <c r="AI414" s="104"/>
      <c r="AJ414" s="104"/>
      <c r="AK414" s="104"/>
      <c r="AL414" s="104"/>
      <c r="AM414" s="104"/>
      <c r="AN414" s="104"/>
      <c r="AO414" s="104"/>
      <c r="AP414" s="104"/>
      <c r="AQ414" s="104"/>
      <c r="AR414" s="104"/>
      <c r="AS414" s="104"/>
      <c r="AT414" s="104"/>
      <c r="AU414" s="104"/>
      <c r="AV414" s="104"/>
      <c r="AW414" s="104"/>
      <c r="AX414" s="104"/>
      <c r="AY414" s="104"/>
      <c r="AZ414" s="104"/>
      <c r="BA414" s="104"/>
      <c r="BB414" s="104"/>
      <c r="BC414" s="104"/>
      <c r="BD414" s="104"/>
      <c r="BE414" s="104"/>
      <c r="BF414" s="104"/>
    </row>
    <row r="415" spans="18:58" x14ac:dyDescent="0.2">
      <c r="R415" s="310"/>
      <c r="V415" s="104"/>
      <c r="W415" s="110"/>
      <c r="X415" s="104"/>
      <c r="Y415" s="104"/>
      <c r="Z415" s="104"/>
      <c r="AA415" s="104"/>
      <c r="AB415" s="104"/>
      <c r="AC415" s="104"/>
      <c r="AD415" s="104"/>
      <c r="AE415" s="307"/>
      <c r="AF415" s="104"/>
      <c r="AG415" s="104"/>
      <c r="AH415" s="104"/>
      <c r="AI415" s="104"/>
      <c r="AJ415" s="104"/>
      <c r="AK415" s="104"/>
      <c r="AL415" s="104"/>
      <c r="AM415" s="104"/>
      <c r="AN415" s="104"/>
      <c r="AO415" s="104"/>
      <c r="AP415" s="104"/>
      <c r="AQ415" s="104"/>
      <c r="AR415" s="104"/>
      <c r="AS415" s="104"/>
      <c r="AT415" s="104"/>
      <c r="AU415" s="104"/>
      <c r="AV415" s="104"/>
      <c r="AW415" s="104"/>
      <c r="AX415" s="104"/>
      <c r="AY415" s="104"/>
      <c r="AZ415" s="104"/>
      <c r="BA415" s="104"/>
      <c r="BB415" s="104"/>
      <c r="BC415" s="104"/>
      <c r="BD415" s="104"/>
      <c r="BE415" s="104"/>
      <c r="BF415" s="104"/>
    </row>
    <row r="416" spans="18:58" x14ac:dyDescent="0.2">
      <c r="R416" s="310"/>
      <c r="V416" s="104"/>
      <c r="W416" s="110"/>
      <c r="X416" s="104"/>
      <c r="Y416" s="104"/>
      <c r="Z416" s="104"/>
      <c r="AA416" s="104"/>
      <c r="AB416" s="104"/>
      <c r="AC416" s="104"/>
      <c r="AD416" s="104"/>
      <c r="AE416" s="307"/>
      <c r="AF416" s="104"/>
      <c r="AG416" s="104"/>
      <c r="AH416" s="104"/>
      <c r="AI416" s="104"/>
      <c r="AJ416" s="104"/>
      <c r="AK416" s="104"/>
      <c r="AL416" s="104"/>
      <c r="AM416" s="104"/>
      <c r="AN416" s="104"/>
      <c r="AO416" s="104"/>
      <c r="AP416" s="104"/>
      <c r="AQ416" s="104"/>
      <c r="AR416" s="104"/>
      <c r="AS416" s="104"/>
      <c r="AT416" s="104"/>
      <c r="AU416" s="104"/>
      <c r="AV416" s="104"/>
      <c r="AW416" s="104"/>
      <c r="AX416" s="104"/>
      <c r="AY416" s="104"/>
      <c r="AZ416" s="104"/>
      <c r="BA416" s="104"/>
      <c r="BB416" s="104"/>
      <c r="BC416" s="104"/>
      <c r="BD416" s="104"/>
      <c r="BE416" s="104"/>
      <c r="BF416" s="104"/>
    </row>
    <row r="417" spans="18:58" x14ac:dyDescent="0.2">
      <c r="R417" s="310"/>
      <c r="V417" s="104"/>
      <c r="W417" s="110"/>
      <c r="X417" s="104"/>
      <c r="Y417" s="104"/>
      <c r="Z417" s="104"/>
      <c r="AA417" s="104"/>
      <c r="AB417" s="104"/>
      <c r="AC417" s="104"/>
      <c r="AD417" s="104"/>
      <c r="AE417" s="307"/>
      <c r="AF417" s="104"/>
      <c r="AG417" s="104"/>
      <c r="AH417" s="104"/>
      <c r="AI417" s="104"/>
      <c r="AJ417" s="104"/>
      <c r="AK417" s="104"/>
      <c r="AL417" s="104"/>
      <c r="AM417" s="104"/>
      <c r="AN417" s="104"/>
      <c r="AO417" s="104"/>
      <c r="AP417" s="104"/>
      <c r="AQ417" s="104"/>
      <c r="AR417" s="104"/>
      <c r="AS417" s="104"/>
      <c r="AT417" s="104"/>
      <c r="AU417" s="104"/>
      <c r="AV417" s="104"/>
      <c r="AW417" s="104"/>
      <c r="AX417" s="104"/>
      <c r="AY417" s="104"/>
      <c r="AZ417" s="104"/>
      <c r="BA417" s="104"/>
      <c r="BB417" s="104"/>
      <c r="BC417" s="104"/>
      <c r="BD417" s="104"/>
      <c r="BE417" s="104"/>
      <c r="BF417" s="104"/>
    </row>
    <row r="418" spans="18:58" x14ac:dyDescent="0.2">
      <c r="R418" s="310"/>
      <c r="V418" s="104"/>
      <c r="W418" s="110"/>
      <c r="X418" s="104"/>
      <c r="Y418" s="104"/>
      <c r="Z418" s="104"/>
      <c r="AA418" s="104"/>
      <c r="AB418" s="104"/>
      <c r="AC418" s="104"/>
      <c r="AD418" s="104"/>
      <c r="AE418" s="307"/>
      <c r="AF418" s="104"/>
      <c r="AG418" s="104"/>
      <c r="AH418" s="104"/>
      <c r="AI418" s="104"/>
      <c r="AJ418" s="104"/>
      <c r="AK418" s="104"/>
      <c r="AL418" s="104"/>
      <c r="AM418" s="104"/>
      <c r="AN418" s="104"/>
      <c r="AO418" s="104"/>
      <c r="AP418" s="104"/>
      <c r="AQ418" s="104"/>
      <c r="AR418" s="104"/>
      <c r="AS418" s="104"/>
      <c r="AT418" s="104"/>
      <c r="AU418" s="104"/>
      <c r="AV418" s="104"/>
      <c r="AW418" s="104"/>
      <c r="AX418" s="104"/>
      <c r="AY418" s="104"/>
      <c r="AZ418" s="104"/>
      <c r="BA418" s="104"/>
      <c r="BB418" s="104"/>
      <c r="BC418" s="104"/>
      <c r="BD418" s="104"/>
      <c r="BE418" s="104"/>
      <c r="BF418" s="104"/>
    </row>
    <row r="419" spans="18:58" x14ac:dyDescent="0.2">
      <c r="R419" s="310"/>
      <c r="V419" s="104"/>
      <c r="W419" s="110"/>
      <c r="X419" s="104"/>
      <c r="Y419" s="104"/>
      <c r="Z419" s="104"/>
      <c r="AA419" s="104"/>
      <c r="AB419" s="104"/>
      <c r="AC419" s="104"/>
      <c r="AD419" s="104"/>
      <c r="AE419" s="307"/>
      <c r="AF419" s="104"/>
      <c r="AG419" s="104"/>
      <c r="AH419" s="104"/>
      <c r="AI419" s="104"/>
      <c r="AJ419" s="104"/>
      <c r="AK419" s="104"/>
      <c r="AL419" s="104"/>
      <c r="AM419" s="104"/>
      <c r="AN419" s="104"/>
      <c r="AO419" s="104"/>
      <c r="AP419" s="104"/>
      <c r="AQ419" s="104"/>
      <c r="AR419" s="104"/>
      <c r="AS419" s="104"/>
      <c r="AT419" s="104"/>
      <c r="AU419" s="104"/>
      <c r="AV419" s="104"/>
      <c r="AW419" s="104"/>
      <c r="AX419" s="104"/>
      <c r="AY419" s="104"/>
      <c r="AZ419" s="104"/>
      <c r="BA419" s="104"/>
      <c r="BB419" s="104"/>
      <c r="BC419" s="104"/>
      <c r="BD419" s="104"/>
      <c r="BE419" s="104"/>
      <c r="BF419" s="104"/>
    </row>
    <row r="420" spans="18:58" x14ac:dyDescent="0.2">
      <c r="R420" s="310"/>
      <c r="V420" s="104"/>
      <c r="W420" s="110"/>
      <c r="X420" s="104"/>
      <c r="Y420" s="104"/>
      <c r="Z420" s="104"/>
      <c r="AA420" s="104"/>
      <c r="AB420" s="104"/>
      <c r="AC420" s="104"/>
      <c r="AD420" s="104"/>
      <c r="AE420" s="307"/>
      <c r="AF420" s="104"/>
      <c r="AG420" s="104"/>
      <c r="AH420" s="104"/>
      <c r="AI420" s="104"/>
      <c r="AJ420" s="104"/>
      <c r="AK420" s="104"/>
      <c r="AL420" s="104"/>
      <c r="AM420" s="104"/>
      <c r="AN420" s="104"/>
      <c r="AO420" s="104"/>
      <c r="AP420" s="104"/>
      <c r="AQ420" s="104"/>
      <c r="AR420" s="104"/>
      <c r="AS420" s="104"/>
      <c r="AT420" s="104"/>
      <c r="AU420" s="104"/>
      <c r="AV420" s="104"/>
      <c r="AW420" s="104"/>
      <c r="AX420" s="104"/>
      <c r="AY420" s="104"/>
      <c r="AZ420" s="104"/>
      <c r="BA420" s="104"/>
      <c r="BB420" s="104"/>
      <c r="BC420" s="104"/>
      <c r="BD420" s="104"/>
      <c r="BE420" s="104"/>
      <c r="BF420" s="104"/>
    </row>
    <row r="421" spans="18:58" x14ac:dyDescent="0.2">
      <c r="R421" s="310"/>
      <c r="V421" s="104"/>
      <c r="W421" s="110"/>
      <c r="X421" s="104"/>
      <c r="Y421" s="104"/>
      <c r="Z421" s="104"/>
      <c r="AA421" s="104"/>
      <c r="AB421" s="104"/>
      <c r="AC421" s="104"/>
      <c r="AD421" s="104"/>
      <c r="AE421" s="307"/>
      <c r="AF421" s="104"/>
      <c r="AG421" s="104"/>
      <c r="AH421" s="104"/>
      <c r="AI421" s="104"/>
      <c r="AJ421" s="104"/>
      <c r="AK421" s="104"/>
      <c r="AL421" s="104"/>
      <c r="AM421" s="104"/>
      <c r="AN421" s="104"/>
      <c r="AO421" s="104"/>
      <c r="AP421" s="104"/>
      <c r="AQ421" s="104"/>
      <c r="AR421" s="104"/>
      <c r="AS421" s="104"/>
      <c r="AT421" s="104"/>
      <c r="AU421" s="104"/>
      <c r="AV421" s="104"/>
      <c r="AW421" s="104"/>
      <c r="AX421" s="104"/>
      <c r="AY421" s="104"/>
      <c r="AZ421" s="104"/>
      <c r="BA421" s="104"/>
      <c r="BB421" s="104"/>
      <c r="BC421" s="104"/>
      <c r="BD421" s="104"/>
      <c r="BE421" s="104"/>
      <c r="BF421" s="104"/>
    </row>
    <row r="422" spans="18:58" x14ac:dyDescent="0.2">
      <c r="R422" s="310"/>
      <c r="V422" s="104"/>
      <c r="W422" s="110"/>
      <c r="X422" s="104"/>
      <c r="Y422" s="104"/>
      <c r="Z422" s="104"/>
      <c r="AA422" s="104"/>
      <c r="AB422" s="104"/>
      <c r="AC422" s="104"/>
      <c r="AD422" s="104"/>
      <c r="AE422" s="307"/>
      <c r="AF422" s="104"/>
      <c r="AG422" s="104"/>
      <c r="AH422" s="104"/>
      <c r="AI422" s="104"/>
      <c r="AJ422" s="104"/>
      <c r="AK422" s="104"/>
      <c r="AL422" s="104"/>
      <c r="AM422" s="104"/>
      <c r="AN422" s="104"/>
      <c r="AO422" s="104"/>
      <c r="AP422" s="104"/>
      <c r="AQ422" s="104"/>
      <c r="AR422" s="104"/>
      <c r="AS422" s="104"/>
      <c r="AT422" s="104"/>
      <c r="AU422" s="104"/>
      <c r="AV422" s="104"/>
      <c r="AW422" s="104"/>
      <c r="AX422" s="104"/>
      <c r="AY422" s="104"/>
      <c r="AZ422" s="104"/>
      <c r="BA422" s="104"/>
      <c r="BB422" s="104"/>
      <c r="BC422" s="104"/>
      <c r="BD422" s="104"/>
      <c r="BE422" s="104"/>
      <c r="BF422" s="104"/>
    </row>
    <row r="423" spans="18:58" x14ac:dyDescent="0.2">
      <c r="R423" s="310"/>
      <c r="V423" s="104"/>
      <c r="W423" s="110"/>
      <c r="X423" s="104"/>
      <c r="Y423" s="104"/>
      <c r="Z423" s="104"/>
      <c r="AA423" s="104"/>
      <c r="AB423" s="104"/>
      <c r="AC423" s="104"/>
      <c r="AD423" s="104"/>
      <c r="AE423" s="307"/>
      <c r="AF423" s="104"/>
      <c r="AG423" s="104"/>
      <c r="AH423" s="104"/>
      <c r="AI423" s="104"/>
      <c r="AJ423" s="104"/>
      <c r="AK423" s="104"/>
      <c r="AL423" s="104"/>
      <c r="AM423" s="104"/>
      <c r="AN423" s="104"/>
      <c r="AO423" s="104"/>
      <c r="AP423" s="104"/>
      <c r="AQ423" s="104"/>
      <c r="AR423" s="104"/>
      <c r="AS423" s="104"/>
      <c r="AT423" s="104"/>
      <c r="AU423" s="104"/>
      <c r="AV423" s="104"/>
      <c r="AW423" s="104"/>
      <c r="AX423" s="104"/>
      <c r="AY423" s="104"/>
      <c r="AZ423" s="104"/>
      <c r="BA423" s="104"/>
      <c r="BB423" s="104"/>
      <c r="BC423" s="104"/>
      <c r="BD423" s="104"/>
      <c r="BE423" s="104"/>
      <c r="BF423" s="104"/>
    </row>
    <row r="424" spans="18:58" x14ac:dyDescent="0.2">
      <c r="R424" s="310"/>
      <c r="V424" s="104"/>
      <c r="W424" s="110"/>
      <c r="X424" s="104"/>
      <c r="Y424" s="104"/>
      <c r="Z424" s="104"/>
      <c r="AA424" s="104"/>
      <c r="AB424" s="104"/>
      <c r="AC424" s="104"/>
      <c r="AD424" s="104"/>
      <c r="AE424" s="307"/>
      <c r="AF424" s="104"/>
      <c r="AG424" s="104"/>
      <c r="AH424" s="104"/>
      <c r="AI424" s="104"/>
      <c r="AJ424" s="104"/>
      <c r="AK424" s="104"/>
      <c r="AL424" s="104"/>
      <c r="AM424" s="104"/>
      <c r="AN424" s="104"/>
      <c r="AO424" s="104"/>
      <c r="AP424" s="104"/>
      <c r="AQ424" s="104"/>
      <c r="AR424" s="104"/>
      <c r="AS424" s="104"/>
      <c r="AT424" s="104"/>
      <c r="AU424" s="104"/>
      <c r="AV424" s="104"/>
      <c r="AW424" s="104"/>
      <c r="AX424" s="104"/>
      <c r="AY424" s="104"/>
      <c r="AZ424" s="104"/>
      <c r="BA424" s="104"/>
      <c r="BB424" s="104"/>
      <c r="BC424" s="104"/>
      <c r="BD424" s="104"/>
      <c r="BE424" s="104"/>
      <c r="BF424" s="104"/>
    </row>
    <row r="425" spans="18:58" x14ac:dyDescent="0.2">
      <c r="R425" s="310"/>
      <c r="V425" s="104"/>
      <c r="W425" s="110"/>
      <c r="X425" s="104"/>
      <c r="Y425" s="104"/>
      <c r="Z425" s="104"/>
      <c r="AA425" s="104"/>
      <c r="AB425" s="104"/>
      <c r="AC425" s="104"/>
      <c r="AD425" s="104"/>
      <c r="AE425" s="307"/>
      <c r="AF425" s="104"/>
      <c r="AG425" s="104"/>
      <c r="AH425" s="104"/>
      <c r="AI425" s="104"/>
      <c r="AJ425" s="104"/>
      <c r="AK425" s="104"/>
      <c r="AL425" s="104"/>
      <c r="AM425" s="104"/>
      <c r="AN425" s="104"/>
      <c r="AO425" s="104"/>
      <c r="AP425" s="104"/>
      <c r="AQ425" s="104"/>
      <c r="AR425" s="104"/>
      <c r="AS425" s="104"/>
      <c r="AT425" s="104"/>
      <c r="AU425" s="104"/>
      <c r="AV425" s="104"/>
      <c r="AW425" s="104"/>
      <c r="AX425" s="104"/>
      <c r="AY425" s="104"/>
      <c r="AZ425" s="104"/>
      <c r="BA425" s="104"/>
      <c r="BB425" s="104"/>
      <c r="BC425" s="104"/>
      <c r="BD425" s="104"/>
      <c r="BE425" s="104"/>
      <c r="BF425" s="104"/>
    </row>
    <row r="426" spans="18:58" x14ac:dyDescent="0.2">
      <c r="R426" s="310"/>
      <c r="V426" s="104"/>
      <c r="Z426" s="104"/>
      <c r="AA426" s="104"/>
      <c r="AB426" s="104"/>
      <c r="AC426" s="104"/>
      <c r="AD426" s="104"/>
      <c r="AE426" s="307"/>
      <c r="AF426" s="104"/>
      <c r="AG426" s="104"/>
      <c r="AH426" s="104"/>
      <c r="AI426" s="104"/>
      <c r="AJ426" s="104"/>
      <c r="AK426" s="104"/>
      <c r="AL426" s="104"/>
      <c r="AM426" s="104"/>
      <c r="AN426" s="104"/>
      <c r="AO426" s="104"/>
      <c r="AP426" s="104"/>
      <c r="AQ426" s="104"/>
      <c r="AR426" s="104"/>
      <c r="AS426" s="104"/>
      <c r="AT426" s="104"/>
      <c r="AU426" s="104"/>
      <c r="AV426" s="104"/>
      <c r="AW426" s="104"/>
      <c r="AX426" s="104"/>
      <c r="AY426" s="104"/>
      <c r="AZ426" s="104"/>
      <c r="BA426" s="104"/>
      <c r="BB426" s="104"/>
      <c r="BC426" s="104"/>
      <c r="BD426" s="104"/>
      <c r="BE426" s="104"/>
      <c r="BF426" s="104"/>
    </row>
    <row r="427" spans="18:58" x14ac:dyDescent="0.2">
      <c r="R427" s="310"/>
      <c r="V427" s="104"/>
      <c r="Z427" s="104"/>
      <c r="AA427" s="104"/>
      <c r="AB427" s="104"/>
      <c r="AC427" s="104"/>
      <c r="AD427" s="104"/>
      <c r="AE427" s="307"/>
      <c r="AF427" s="104"/>
      <c r="AG427" s="104"/>
      <c r="AH427" s="104"/>
      <c r="AI427" s="104"/>
      <c r="AJ427" s="104"/>
      <c r="AK427" s="104"/>
      <c r="AL427" s="104"/>
      <c r="AM427" s="104"/>
      <c r="AN427" s="104"/>
      <c r="AO427" s="104"/>
      <c r="AP427" s="104"/>
      <c r="AQ427" s="104"/>
      <c r="AR427" s="104"/>
      <c r="AS427" s="104"/>
      <c r="AT427" s="104"/>
      <c r="AU427" s="104"/>
      <c r="AV427" s="104"/>
      <c r="AW427" s="104"/>
      <c r="AX427" s="104"/>
      <c r="AY427" s="104"/>
      <c r="AZ427" s="104"/>
      <c r="BA427" s="104"/>
      <c r="BB427" s="104"/>
      <c r="BC427" s="104"/>
      <c r="BD427" s="104"/>
      <c r="BE427" s="104"/>
      <c r="BF427" s="104"/>
    </row>
    <row r="428" spans="18:58" x14ac:dyDescent="0.2">
      <c r="R428" s="310"/>
      <c r="V428" s="104"/>
      <c r="Z428" s="104"/>
      <c r="AA428" s="104"/>
      <c r="AB428" s="104"/>
      <c r="AC428" s="104"/>
      <c r="AD428" s="104"/>
      <c r="AE428" s="307"/>
      <c r="AF428" s="104"/>
      <c r="AG428" s="104"/>
      <c r="AH428" s="104"/>
      <c r="AI428" s="104"/>
      <c r="AJ428" s="104"/>
      <c r="AK428" s="104"/>
      <c r="AL428" s="104"/>
      <c r="AM428" s="104"/>
      <c r="AN428" s="104"/>
      <c r="AO428" s="104"/>
      <c r="AP428" s="104"/>
      <c r="AQ428" s="104"/>
      <c r="AR428" s="104"/>
      <c r="AS428" s="104"/>
      <c r="AT428" s="104"/>
      <c r="AU428" s="104"/>
      <c r="AV428" s="104"/>
      <c r="AW428" s="104"/>
      <c r="AX428" s="104"/>
      <c r="AY428" s="104"/>
      <c r="AZ428" s="104"/>
      <c r="BA428" s="104"/>
      <c r="BB428" s="104"/>
      <c r="BC428" s="104"/>
      <c r="BD428" s="104"/>
      <c r="BE428" s="104"/>
      <c r="BF428" s="104"/>
    </row>
    <row r="429" spans="18:58" x14ac:dyDescent="0.2">
      <c r="R429" s="310"/>
      <c r="V429" s="104"/>
      <c r="Z429" s="104"/>
      <c r="AA429" s="104"/>
      <c r="AB429" s="104"/>
      <c r="AC429" s="104"/>
      <c r="AD429" s="104"/>
      <c r="AE429" s="307"/>
      <c r="AF429" s="104"/>
      <c r="AG429" s="104"/>
      <c r="AH429" s="104"/>
      <c r="AI429" s="104"/>
      <c r="AJ429" s="104"/>
      <c r="AK429" s="104"/>
      <c r="AL429" s="104"/>
      <c r="AM429" s="104"/>
      <c r="AN429" s="104"/>
      <c r="AO429" s="104"/>
      <c r="AP429" s="104"/>
      <c r="AQ429" s="104"/>
      <c r="AR429" s="104"/>
      <c r="AS429" s="104"/>
      <c r="AT429" s="104"/>
      <c r="AU429" s="104"/>
      <c r="AV429" s="104"/>
      <c r="AW429" s="104"/>
      <c r="AX429" s="104"/>
      <c r="AY429" s="104"/>
      <c r="AZ429" s="104"/>
      <c r="BA429" s="104"/>
      <c r="BB429" s="104"/>
      <c r="BC429" s="104"/>
      <c r="BD429" s="104"/>
      <c r="BE429" s="104"/>
      <c r="BF429" s="104"/>
    </row>
    <row r="430" spans="18:58" x14ac:dyDescent="0.2">
      <c r="R430" s="310"/>
      <c r="V430" s="104"/>
      <c r="Z430" s="104"/>
      <c r="AA430" s="104"/>
      <c r="AB430" s="104"/>
      <c r="AC430" s="104"/>
      <c r="AD430" s="104"/>
      <c r="AE430" s="307"/>
      <c r="AF430" s="104"/>
      <c r="AG430" s="104"/>
      <c r="AH430" s="104"/>
      <c r="AI430" s="104"/>
      <c r="AJ430" s="104"/>
      <c r="AK430" s="104"/>
      <c r="AL430" s="104"/>
      <c r="AM430" s="104"/>
      <c r="AN430" s="104"/>
      <c r="AO430" s="104"/>
      <c r="AP430" s="104"/>
      <c r="AQ430" s="104"/>
      <c r="AR430" s="104"/>
      <c r="AS430" s="104"/>
      <c r="AT430" s="104"/>
      <c r="AU430" s="104"/>
      <c r="AV430" s="104"/>
      <c r="AW430" s="104"/>
      <c r="AX430" s="104"/>
      <c r="AY430" s="104"/>
      <c r="AZ430" s="104"/>
      <c r="BA430" s="104"/>
      <c r="BB430" s="104"/>
      <c r="BC430" s="104"/>
      <c r="BD430" s="104"/>
      <c r="BE430" s="104"/>
      <c r="BF430" s="104"/>
    </row>
    <row r="431" spans="18:58" x14ac:dyDescent="0.2">
      <c r="R431" s="310"/>
      <c r="V431" s="104"/>
      <c r="Z431" s="104"/>
      <c r="AA431" s="104"/>
      <c r="AB431" s="104"/>
      <c r="AC431" s="104"/>
      <c r="AD431" s="104"/>
      <c r="AE431" s="307"/>
      <c r="AF431" s="104"/>
      <c r="AG431" s="104"/>
      <c r="AH431" s="104"/>
      <c r="AI431" s="104"/>
      <c r="AJ431" s="104"/>
      <c r="AK431" s="104"/>
      <c r="AL431" s="104"/>
      <c r="AM431" s="104"/>
      <c r="AN431" s="104"/>
      <c r="AO431" s="104"/>
      <c r="AP431" s="104"/>
      <c r="AQ431" s="104"/>
      <c r="AR431" s="104"/>
      <c r="AS431" s="104"/>
      <c r="AT431" s="104"/>
      <c r="AU431" s="104"/>
      <c r="AV431" s="104"/>
      <c r="AW431" s="104"/>
      <c r="AX431" s="104"/>
      <c r="AY431" s="104"/>
      <c r="AZ431" s="104"/>
      <c r="BA431" s="104"/>
      <c r="BB431" s="104"/>
      <c r="BC431" s="104"/>
      <c r="BD431" s="104"/>
      <c r="BE431" s="104"/>
      <c r="BF431" s="104"/>
    </row>
    <row r="432" spans="18:58" x14ac:dyDescent="0.2">
      <c r="R432" s="310"/>
      <c r="V432" s="104"/>
      <c r="Z432" s="104"/>
      <c r="AA432" s="104"/>
      <c r="AB432" s="104"/>
      <c r="AC432" s="104"/>
      <c r="AD432" s="104"/>
      <c r="AE432" s="307"/>
      <c r="AF432" s="104"/>
      <c r="AG432" s="104"/>
      <c r="AH432" s="104"/>
      <c r="AI432" s="104"/>
      <c r="AJ432" s="104"/>
      <c r="AK432" s="104"/>
      <c r="AL432" s="104"/>
      <c r="AM432" s="104"/>
      <c r="AN432" s="104"/>
      <c r="AO432" s="104"/>
      <c r="AP432" s="104"/>
      <c r="AQ432" s="104"/>
      <c r="AR432" s="104"/>
      <c r="AS432" s="104"/>
      <c r="AT432" s="104"/>
      <c r="AU432" s="104"/>
      <c r="AV432" s="104"/>
      <c r="AW432" s="104"/>
      <c r="AX432" s="104"/>
      <c r="AY432" s="104"/>
      <c r="AZ432" s="104"/>
      <c r="BA432" s="104"/>
      <c r="BB432" s="104"/>
      <c r="BC432" s="104"/>
      <c r="BD432" s="104"/>
      <c r="BE432" s="104"/>
      <c r="BF432" s="104"/>
    </row>
    <row r="433" spans="18:58" x14ac:dyDescent="0.2">
      <c r="R433" s="310"/>
      <c r="V433" s="104"/>
      <c r="Z433" s="104"/>
      <c r="AA433" s="104"/>
      <c r="AB433" s="104"/>
      <c r="AC433" s="104"/>
      <c r="AD433" s="104"/>
      <c r="AE433" s="307"/>
      <c r="AF433" s="104"/>
      <c r="AG433" s="104"/>
      <c r="AH433" s="104"/>
      <c r="AI433" s="104"/>
      <c r="AJ433" s="104"/>
      <c r="AK433" s="104"/>
      <c r="AL433" s="104"/>
      <c r="AM433" s="104"/>
      <c r="AN433" s="104"/>
      <c r="AO433" s="104"/>
      <c r="AP433" s="104"/>
      <c r="AQ433" s="104"/>
      <c r="AR433" s="104"/>
      <c r="AS433" s="104"/>
      <c r="AT433" s="104"/>
      <c r="AU433" s="104"/>
      <c r="AV433" s="104"/>
      <c r="AW433" s="104"/>
      <c r="AX433" s="104"/>
      <c r="AY433" s="104"/>
      <c r="AZ433" s="104"/>
      <c r="BA433" s="104"/>
      <c r="BB433" s="104"/>
      <c r="BC433" s="104"/>
      <c r="BD433" s="104"/>
      <c r="BE433" s="104"/>
      <c r="BF433" s="104"/>
    </row>
    <row r="434" spans="18:58" x14ac:dyDescent="0.2">
      <c r="R434" s="310"/>
      <c r="V434" s="104"/>
      <c r="Z434" s="104"/>
      <c r="AA434" s="104"/>
      <c r="AB434" s="104"/>
      <c r="AC434" s="104"/>
      <c r="AD434" s="104"/>
      <c r="AE434" s="307"/>
      <c r="AF434" s="104"/>
      <c r="AG434" s="104"/>
      <c r="AH434" s="104"/>
      <c r="AI434" s="104"/>
      <c r="AJ434" s="104"/>
      <c r="AK434" s="104"/>
      <c r="AL434" s="104"/>
      <c r="AM434" s="104"/>
      <c r="AN434" s="104"/>
      <c r="AO434" s="104"/>
      <c r="AP434" s="104"/>
      <c r="AQ434" s="104"/>
      <c r="AR434" s="104"/>
      <c r="AS434" s="104"/>
      <c r="AT434" s="104"/>
      <c r="AU434" s="104"/>
      <c r="AV434" s="104"/>
      <c r="AW434" s="104"/>
      <c r="AX434" s="104"/>
      <c r="AY434" s="104"/>
      <c r="AZ434" s="104"/>
      <c r="BA434" s="104"/>
      <c r="BB434" s="104"/>
      <c r="BC434" s="104"/>
      <c r="BD434" s="104"/>
      <c r="BE434" s="104"/>
      <c r="BF434" s="104"/>
    </row>
    <row r="435" spans="18:58" x14ac:dyDescent="0.2">
      <c r="R435" s="310"/>
      <c r="V435" s="104"/>
      <c r="Z435" s="104"/>
      <c r="AA435" s="104"/>
      <c r="AB435" s="104"/>
      <c r="AC435" s="104"/>
      <c r="AD435" s="104"/>
      <c r="AE435" s="307"/>
      <c r="AF435" s="104"/>
      <c r="AG435" s="104"/>
      <c r="AH435" s="104"/>
      <c r="AI435" s="104"/>
      <c r="AJ435" s="104"/>
      <c r="AK435" s="104"/>
      <c r="AL435" s="104"/>
      <c r="AM435" s="104"/>
      <c r="AN435" s="104"/>
      <c r="AO435" s="104"/>
      <c r="AP435" s="104"/>
      <c r="AQ435" s="104"/>
      <c r="AR435" s="104"/>
      <c r="AS435" s="104"/>
      <c r="AT435" s="104"/>
      <c r="AU435" s="104"/>
      <c r="AV435" s="104"/>
      <c r="AW435" s="104"/>
      <c r="AX435" s="104"/>
      <c r="AY435" s="104"/>
      <c r="AZ435" s="104"/>
      <c r="BA435" s="104"/>
      <c r="BB435" s="104"/>
      <c r="BC435" s="104"/>
      <c r="BD435" s="104"/>
      <c r="BE435" s="104"/>
      <c r="BF435" s="104"/>
    </row>
    <row r="436" spans="18:58" x14ac:dyDescent="0.2">
      <c r="R436" s="310"/>
      <c r="V436" s="104"/>
      <c r="Z436" s="104"/>
      <c r="AA436" s="104"/>
      <c r="AB436" s="104"/>
      <c r="AC436" s="104"/>
      <c r="AD436" s="104"/>
      <c r="AE436" s="307"/>
      <c r="AF436" s="104"/>
      <c r="AG436" s="104"/>
      <c r="AH436" s="104"/>
      <c r="AI436" s="104"/>
      <c r="AJ436" s="104"/>
      <c r="AK436" s="104"/>
      <c r="AL436" s="104"/>
      <c r="AM436" s="104"/>
      <c r="AN436" s="104"/>
      <c r="AO436" s="104"/>
      <c r="AP436" s="104"/>
      <c r="AQ436" s="104"/>
      <c r="AR436" s="104"/>
      <c r="AS436" s="104"/>
      <c r="AT436" s="104"/>
      <c r="AU436" s="104"/>
      <c r="AV436" s="104"/>
      <c r="AW436" s="104"/>
      <c r="AX436" s="104"/>
      <c r="AY436" s="104"/>
      <c r="AZ436" s="104"/>
      <c r="BA436" s="104"/>
      <c r="BB436" s="104"/>
      <c r="BC436" s="104"/>
      <c r="BD436" s="104"/>
      <c r="BE436" s="104"/>
      <c r="BF436" s="104"/>
    </row>
    <row r="437" spans="18:58" x14ac:dyDescent="0.2">
      <c r="R437" s="310"/>
      <c r="V437" s="104"/>
      <c r="Z437" s="104"/>
      <c r="AA437" s="104"/>
      <c r="AB437" s="104"/>
      <c r="AC437" s="104"/>
      <c r="AD437" s="104"/>
      <c r="AE437" s="307"/>
      <c r="AF437" s="104"/>
      <c r="AG437" s="104"/>
      <c r="AH437" s="104"/>
      <c r="AI437" s="104"/>
      <c r="AJ437" s="104"/>
      <c r="AK437" s="104"/>
      <c r="AL437" s="104"/>
      <c r="AM437" s="104"/>
      <c r="AN437" s="104"/>
      <c r="AO437" s="104"/>
      <c r="AP437" s="104"/>
      <c r="AQ437" s="104"/>
      <c r="AR437" s="104"/>
      <c r="AS437" s="104"/>
      <c r="AT437" s="104"/>
      <c r="AU437" s="104"/>
      <c r="AV437" s="104"/>
      <c r="AW437" s="104"/>
      <c r="AX437" s="104"/>
      <c r="AY437" s="104"/>
      <c r="AZ437" s="104"/>
      <c r="BA437" s="104"/>
      <c r="BB437" s="104"/>
      <c r="BC437" s="104"/>
      <c r="BD437" s="104"/>
      <c r="BE437" s="104"/>
      <c r="BF437" s="104"/>
    </row>
    <row r="438" spans="18:58" x14ac:dyDescent="0.2">
      <c r="R438" s="310"/>
      <c r="V438" s="104"/>
      <c r="Z438" s="104"/>
      <c r="AA438" s="104"/>
      <c r="AB438" s="104"/>
      <c r="AC438" s="104"/>
      <c r="AD438" s="104"/>
      <c r="AE438" s="307"/>
      <c r="AF438" s="104"/>
      <c r="AG438" s="104"/>
      <c r="AH438" s="104"/>
      <c r="AI438" s="104"/>
      <c r="AJ438" s="104"/>
      <c r="AK438" s="104"/>
      <c r="AL438" s="104"/>
      <c r="AM438" s="104"/>
      <c r="AN438" s="104"/>
      <c r="AO438" s="104"/>
      <c r="AP438" s="104"/>
      <c r="AQ438" s="104"/>
      <c r="AR438" s="104"/>
      <c r="AS438" s="104"/>
      <c r="AT438" s="104"/>
      <c r="AU438" s="104"/>
      <c r="AV438" s="104"/>
      <c r="AW438" s="104"/>
      <c r="AX438" s="104"/>
      <c r="AY438" s="104"/>
      <c r="AZ438" s="104"/>
      <c r="BA438" s="104"/>
      <c r="BB438" s="104"/>
      <c r="BC438" s="104"/>
      <c r="BD438" s="104"/>
      <c r="BE438" s="104"/>
      <c r="BF438" s="104"/>
    </row>
    <row r="439" spans="18:58" x14ac:dyDescent="0.2">
      <c r="R439" s="310"/>
      <c r="V439" s="104"/>
      <c r="Z439" s="104"/>
      <c r="AA439" s="104"/>
      <c r="AB439" s="104"/>
      <c r="AC439" s="104"/>
      <c r="AD439" s="104"/>
      <c r="AE439" s="307"/>
      <c r="AF439" s="104"/>
      <c r="AG439" s="104"/>
      <c r="AH439" s="104"/>
      <c r="AI439" s="104"/>
      <c r="AJ439" s="104"/>
      <c r="AK439" s="104"/>
      <c r="AL439" s="104"/>
      <c r="AM439" s="104"/>
      <c r="AN439" s="104"/>
      <c r="AO439" s="104"/>
      <c r="AP439" s="104"/>
      <c r="AQ439" s="104"/>
      <c r="AR439" s="104"/>
      <c r="AS439" s="104"/>
      <c r="AT439" s="104"/>
      <c r="AU439" s="104"/>
      <c r="AV439" s="104"/>
      <c r="AW439" s="104"/>
      <c r="AX439" s="104"/>
      <c r="AY439" s="104"/>
      <c r="AZ439" s="104"/>
      <c r="BA439" s="104"/>
      <c r="BB439" s="104"/>
      <c r="BC439" s="104"/>
      <c r="BD439" s="104"/>
      <c r="BE439" s="104"/>
      <c r="BF439" s="104"/>
    </row>
    <row r="440" spans="18:58" x14ac:dyDescent="0.2">
      <c r="R440" s="310"/>
      <c r="V440" s="104"/>
      <c r="Z440" s="104"/>
      <c r="AA440" s="104"/>
      <c r="AB440" s="104"/>
      <c r="AC440" s="104"/>
      <c r="AD440" s="104"/>
      <c r="AE440" s="307"/>
      <c r="AF440" s="104"/>
      <c r="AG440" s="104"/>
      <c r="AH440" s="104"/>
      <c r="AI440" s="104"/>
      <c r="AJ440" s="104"/>
      <c r="AK440" s="104"/>
      <c r="AL440" s="104"/>
      <c r="AM440" s="104"/>
      <c r="AN440" s="104"/>
      <c r="AO440" s="104"/>
      <c r="AP440" s="104"/>
      <c r="AQ440" s="104"/>
      <c r="AR440" s="104"/>
      <c r="AS440" s="104"/>
      <c r="AT440" s="104"/>
      <c r="AU440" s="104"/>
      <c r="AV440" s="104"/>
      <c r="AW440" s="104"/>
      <c r="AX440" s="104"/>
      <c r="AY440" s="104"/>
      <c r="AZ440" s="104"/>
      <c r="BA440" s="104"/>
      <c r="BB440" s="104"/>
      <c r="BC440" s="104"/>
      <c r="BD440" s="104"/>
      <c r="BE440" s="104"/>
      <c r="BF440" s="104"/>
    </row>
    <row r="441" spans="18:58" x14ac:dyDescent="0.2">
      <c r="R441" s="310"/>
      <c r="V441" s="104"/>
      <c r="Z441" s="104"/>
      <c r="AA441" s="104"/>
      <c r="AB441" s="104"/>
      <c r="AC441" s="104"/>
      <c r="AD441" s="104"/>
      <c r="AE441" s="307"/>
      <c r="AF441" s="104"/>
      <c r="AG441" s="104"/>
      <c r="AH441" s="104"/>
      <c r="AI441" s="104"/>
      <c r="AJ441" s="104"/>
      <c r="AK441" s="104"/>
      <c r="AL441" s="104"/>
      <c r="AM441" s="104"/>
      <c r="AN441" s="104"/>
      <c r="AO441" s="104"/>
      <c r="AP441" s="104"/>
      <c r="AQ441" s="104"/>
      <c r="AR441" s="104"/>
      <c r="AS441" s="104"/>
      <c r="AT441" s="104"/>
      <c r="AU441" s="104"/>
      <c r="AV441" s="104"/>
      <c r="AW441" s="104"/>
      <c r="AX441" s="104"/>
      <c r="AY441" s="104"/>
      <c r="AZ441" s="104"/>
      <c r="BA441" s="104"/>
      <c r="BB441" s="104"/>
      <c r="BC441" s="104"/>
      <c r="BD441" s="104"/>
      <c r="BE441" s="104"/>
      <c r="BF441" s="104"/>
    </row>
    <row r="442" spans="18:58" x14ac:dyDescent="0.2">
      <c r="Z442" s="104"/>
      <c r="AA442" s="104"/>
      <c r="AB442" s="104"/>
      <c r="AC442" s="104"/>
      <c r="AD442" s="104"/>
      <c r="AE442" s="307"/>
      <c r="AF442" s="104"/>
      <c r="AG442" s="104"/>
      <c r="AH442" s="104"/>
      <c r="AI442" s="104"/>
      <c r="AJ442" s="104"/>
      <c r="AK442" s="104"/>
      <c r="AL442" s="104"/>
      <c r="AM442" s="104"/>
      <c r="AN442" s="104"/>
      <c r="AO442" s="104"/>
      <c r="AP442" s="104"/>
      <c r="AQ442" s="104"/>
      <c r="AR442" s="104"/>
      <c r="AS442" s="104"/>
      <c r="AT442" s="104"/>
      <c r="AU442" s="104"/>
      <c r="AV442" s="104"/>
      <c r="AW442" s="104"/>
      <c r="AX442" s="104"/>
      <c r="AY442" s="104"/>
      <c r="AZ442" s="104"/>
      <c r="BA442" s="104"/>
      <c r="BB442" s="104"/>
      <c r="BC442" s="104"/>
      <c r="BD442" s="104"/>
      <c r="BE442" s="104"/>
      <c r="BF442" s="104"/>
    </row>
    <row r="443" spans="18:58" x14ac:dyDescent="0.2">
      <c r="AB443" s="104"/>
      <c r="AD443" s="104"/>
      <c r="AE443" s="307"/>
      <c r="AF443" s="104"/>
      <c r="AG443" s="104"/>
      <c r="AH443" s="104"/>
      <c r="AI443" s="104"/>
      <c r="AJ443" s="104"/>
      <c r="AK443" s="104"/>
      <c r="AL443" s="104"/>
      <c r="AM443" s="104"/>
      <c r="AN443" s="104"/>
      <c r="AO443" s="104"/>
      <c r="AP443" s="104"/>
      <c r="AQ443" s="104"/>
      <c r="AR443" s="104"/>
      <c r="AS443" s="104"/>
      <c r="AT443" s="104"/>
      <c r="AU443" s="104"/>
      <c r="AV443" s="104"/>
      <c r="AW443" s="104"/>
      <c r="AX443" s="104"/>
      <c r="AY443" s="104"/>
      <c r="AZ443" s="104"/>
      <c r="BA443" s="104"/>
      <c r="BB443" s="104"/>
      <c r="BC443" s="104"/>
      <c r="BD443" s="104"/>
      <c r="BE443" s="104"/>
      <c r="BF443" s="104"/>
    </row>
    <row r="444" spans="18:58" x14ac:dyDescent="0.2">
      <c r="AD444" s="104"/>
      <c r="AE444" s="307"/>
      <c r="AF444" s="104"/>
      <c r="AG444" s="104"/>
      <c r="AH444" s="104"/>
      <c r="AI444" s="104"/>
      <c r="AJ444" s="104"/>
      <c r="AK444" s="104"/>
      <c r="AL444" s="104"/>
      <c r="AM444" s="104"/>
      <c r="AN444" s="104"/>
      <c r="AO444" s="104"/>
      <c r="AP444" s="104"/>
      <c r="AQ444" s="104"/>
      <c r="AR444" s="104"/>
      <c r="AS444" s="104"/>
      <c r="AT444" s="104"/>
      <c r="AU444" s="104"/>
      <c r="AV444" s="104"/>
      <c r="AW444" s="104"/>
      <c r="AX444" s="104"/>
      <c r="AY444" s="104"/>
      <c r="AZ444" s="104"/>
      <c r="BA444" s="104"/>
      <c r="BB444" s="104"/>
      <c r="BC444" s="104"/>
      <c r="BD444" s="104"/>
      <c r="BE444" s="104"/>
      <c r="BF444" s="104"/>
    </row>
  </sheetData>
  <mergeCells count="15">
    <mergeCell ref="L23:M23"/>
    <mergeCell ref="L25:M25"/>
    <mergeCell ref="G24:J24"/>
    <mergeCell ref="A40:M41"/>
    <mergeCell ref="AA28:AC30"/>
    <mergeCell ref="D29:L34"/>
    <mergeCell ref="C29:C34"/>
    <mergeCell ref="A38:M39"/>
    <mergeCell ref="L27:M27"/>
    <mergeCell ref="L26:M26"/>
    <mergeCell ref="L20:M20"/>
    <mergeCell ref="L21:M21"/>
    <mergeCell ref="G20:J20"/>
    <mergeCell ref="G21:J21"/>
    <mergeCell ref="L22:M22"/>
  </mergeCells>
  <phoneticPr fontId="0" type="noConversion"/>
  <dataValidations xWindow="801" yWindow="170" count="6">
    <dataValidation type="whole" operator="greaterThan" allowBlank="1" showInputMessage="1" showErrorMessage="1" errorTitle="Invalid Number!" error="Vertical Pixel value should be a whole number." promptTitle="Note:" prompt="Vertical linel value will be rounded to nearest integer." sqref="K21">
      <formula1>0</formula1>
    </dataValidation>
    <dataValidation type="whole" operator="greaterThan" showInputMessage="1" showErrorMessage="1" errorTitle="Invalid Number!" error="Horizontal Pixel value should be a whole number." promptTitle="Note:" prompt="Value will be rounded to the nearest integer number of character cells." sqref="K20">
      <formula1>0</formula1>
    </dataValidation>
    <dataValidation type="custom" showInputMessage="1" showErrorMessage="1" errorTitle="Invalid Entry!" error="Please enter Y or N (Yes/No)." sqref="K22:K23 K25">
      <formula1>OR(K22="Y",K22="N")</formula1>
    </dataValidation>
    <dataValidation type="decimal" operator="greaterThan" showInputMessage="1" showErrorMessage="1" errorTitle="Invalid Number!" error="Frame Rate value must be a number." promptTitle="Vertical Frame Rate:" prompt="CVT normal blank and reduced blank version 1, standard Frame Rates are:_x000a_    50Hz_x000a_    60Hz_x000a_    75Hz_x000a_    85Hz_x000a__x000a_CVT reduced blank version 2 supports any non-interlace frame rate." sqref="K24">
      <formula1>0</formula1>
    </dataValidation>
    <dataValidation type="custom" showInputMessage="1" showErrorMessage="1" errorTitle="Invalid Entry!" error="Please enter Y or N (Yes/No)." sqref="K26">
      <formula1>OR(K26="Y",K26="N")</formula1>
    </dataValidation>
    <dataValidation type="custom" showInputMessage="1" showErrorMessage="1" errorTitle="Invalid Entry!" error="Please enter Y or N (Yes/No)." promptTitle="Video Optimized Rate" prompt="This field should be set to &quot;Y&quot; when Frame Rate is 60 Hz, 30 Hz, 24 Hz to get the CVT reduced blank version 2 timing for 59.94 Hz, 29.97 Hz and 23.976 Hz respectively." sqref="K27">
      <formula1>OR(K27="Y",K27="N")</formula1>
    </dataValidation>
  </dataValidations>
  <printOptions horizontalCentered="1" verticalCentered="1"/>
  <pageMargins left="0.5" right="0.5" top="0.56000000000000005" bottom="0.56000000000000005" header="0.5" footer="0.5"/>
  <pageSetup scale="40" orientation="portrait" horizontalDpi="4294967292" verticalDpi="300" r:id="rId1"/>
  <headerFooter alignWithMargins="0">
    <oddFooter>&amp;L&amp;"Times New Roman,Regular"&amp;14VESA Coordinated Video Timing Generator
(c) Copyright 2002 Video Electronics Standards Association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65</vt:i4>
      </vt:variant>
    </vt:vector>
  </HeadingPairs>
  <TitlesOfParts>
    <vt:vector size="67" baseType="lpstr">
      <vt:lpstr>CVTv1.2</vt:lpstr>
      <vt:lpstr>Sheet1</vt:lpstr>
      <vt:lpstr>ACT_FIELD_RATE</vt:lpstr>
      <vt:lpstr>ACT_FRAME_RATE</vt:lpstr>
      <vt:lpstr>ACT_H_FREQ</vt:lpstr>
      <vt:lpstr>ACT_PIXEL_FREQ</vt:lpstr>
      <vt:lpstr>ACT_VBI_LINES</vt:lpstr>
      <vt:lpstr>ASPECT_RATIO</vt:lpstr>
      <vt:lpstr>BOT_MARGIN</vt:lpstr>
      <vt:lpstr>C_PRIME</vt:lpstr>
      <vt:lpstr>CELL_GRAN</vt:lpstr>
      <vt:lpstr>CELL_GRAN_RND</vt:lpstr>
      <vt:lpstr>CLOCK_STEP</vt:lpstr>
      <vt:lpstr>FrameRate_Error</vt:lpstr>
      <vt:lpstr>GTF_C_VAR</vt:lpstr>
      <vt:lpstr>GTF_J_VAR</vt:lpstr>
      <vt:lpstr>GTF_K_VAR</vt:lpstr>
      <vt:lpstr>GTF_M_VAR</vt:lpstr>
      <vt:lpstr>H_BACK_PORCH</vt:lpstr>
      <vt:lpstr>H_BLANK</vt:lpstr>
      <vt:lpstr>H_FRONT_PORCH</vt:lpstr>
      <vt:lpstr>H_PERIOD_EST</vt:lpstr>
      <vt:lpstr>H_PIXELS</vt:lpstr>
      <vt:lpstr>H_PIXELS_RND</vt:lpstr>
      <vt:lpstr>H_SYNC_PER</vt:lpstr>
      <vt:lpstr>H_SYNC_RND</vt:lpstr>
      <vt:lpstr>IDEAL_DUTY_CYCLE</vt:lpstr>
      <vt:lpstr>INT_RQD?</vt:lpstr>
      <vt:lpstr>INTERLACE</vt:lpstr>
      <vt:lpstr>IP_FREQ_RQD</vt:lpstr>
      <vt:lpstr>LEFT_MARGIN</vt:lpstr>
      <vt:lpstr>M_PRIME</vt:lpstr>
      <vt:lpstr>MARGIN_PER</vt:lpstr>
      <vt:lpstr>MARGINS_RQD?</vt:lpstr>
      <vt:lpstr>MIN_V_BPORCH</vt:lpstr>
      <vt:lpstr>MIN_V_PORCH</vt:lpstr>
      <vt:lpstr>MIN_V_PORCH_RND</vt:lpstr>
      <vt:lpstr>MIN_VSYNC_BP</vt:lpstr>
      <vt:lpstr>CVTv1.2!Print_Area</vt:lpstr>
      <vt:lpstr>CVTv1.2!Print_Titles</vt:lpstr>
      <vt:lpstr>RB_H_BLANK</vt:lpstr>
      <vt:lpstr>RB_H_SYNC</vt:lpstr>
      <vt:lpstr>RB_MIN_V_BLANK</vt:lpstr>
      <vt:lpstr>RB_MIN_V_BPORCH</vt:lpstr>
      <vt:lpstr>RB_MIN_VBI</vt:lpstr>
      <vt:lpstr>RB_V_FPORCH</vt:lpstr>
      <vt:lpstr>RED_BLANK_RQD?</vt:lpstr>
      <vt:lpstr>RED_BLANK_VER</vt:lpstr>
      <vt:lpstr>RED_BLANK_VER2</vt:lpstr>
      <vt:lpstr>RIGHT_MARGIN</vt:lpstr>
      <vt:lpstr>TOP_MARGIN</vt:lpstr>
      <vt:lpstr>TOTAL_ACTIVE_PIXELS</vt:lpstr>
      <vt:lpstr>TOTAL_PIXELS</vt:lpstr>
      <vt:lpstr>TOTAL_V_LINES</vt:lpstr>
      <vt:lpstr>V_BACK_PORCH</vt:lpstr>
      <vt:lpstr>V_BLANK</vt:lpstr>
      <vt:lpstr>V_FIELD_RATE_RQD</vt:lpstr>
      <vt:lpstr>V_FRONT_PORCH</vt:lpstr>
      <vt:lpstr>V_LINES</vt:lpstr>
      <vt:lpstr>V_LINES_RND</vt:lpstr>
      <vt:lpstr>V_SYNC</vt:lpstr>
      <vt:lpstr>V_SYNC_BP</vt:lpstr>
      <vt:lpstr>V_SYNC_RND</vt:lpstr>
      <vt:lpstr>VBI_LINES</vt:lpstr>
      <vt:lpstr>Version</vt:lpstr>
      <vt:lpstr>VIDEO_OPT</vt:lpstr>
      <vt:lpstr>VSYNC_WIDTH_TABLE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VESA Coordinated Video Timing Generator</dc:title>
  <dc:subject>CVT Timing</dc:subject>
  <dc:creator>Graham Loveridge</dc:creator>
  <cp:keywords>CVT Timing Generator</cp:keywords>
  <cp:lastModifiedBy>Joan</cp:lastModifiedBy>
  <cp:lastPrinted>2003-03-03T23:34:15Z</cp:lastPrinted>
  <dcterms:created xsi:type="dcterms:W3CDTF">2002-01-07T17:37:55Z</dcterms:created>
  <dcterms:modified xsi:type="dcterms:W3CDTF">2013-03-27T19:57:14Z</dcterms:modified>
</cp:coreProperties>
</file>