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obr/Downloads/"/>
    </mc:Choice>
  </mc:AlternateContent>
  <xr:revisionPtr revIDLastSave="0" documentId="13_ncr:1_{214CC867-F9C8-FD48-A2AD-995F8875E0B8}" xr6:coauthVersionLast="47" xr6:coauthVersionMax="47" xr10:uidLastSave="{00000000-0000-0000-0000-000000000000}"/>
  <bookViews>
    <workbookView xWindow="0" yWindow="500" windowWidth="42220" windowHeight="23200" xr2:uid="{00000000-000D-0000-FFFF-FFFF00000000}"/>
  </bookViews>
  <sheets>
    <sheet name="CVTv2.0" sheetId="5" r:id="rId1"/>
    <sheet name="CVTv1.2a" sheetId="6" r:id="rId2"/>
    <sheet name="RevisionHistory" sheetId="7" r:id="rId3"/>
  </sheets>
  <definedNames>
    <definedName name="ACT_FIELD_RATE" localSheetId="1">'CVTv1.2a'!$Q$57</definedName>
    <definedName name="ACT_FIELD_RATE" localSheetId="0">'CVTv2.0'!#REF!</definedName>
    <definedName name="ACT_FIELD_RATE">#REF!</definedName>
    <definedName name="ACT_FRAME_RATE" localSheetId="1">'CVTv1.2a'!$Q$58</definedName>
    <definedName name="ACT_FRAME_RATE" localSheetId="0">'CVTv2.0'!$Q$19</definedName>
    <definedName name="ACT_FRAME_RATE">#REF!</definedName>
    <definedName name="ACT_H_FREQ" localSheetId="1">'CVTv1.2a'!$Q$55</definedName>
    <definedName name="ACT_H_FREQ" localSheetId="0">'CVTv2.0'!$Q$17</definedName>
    <definedName name="ACT_H_FREQ">#REF!</definedName>
    <definedName name="ACT_PIXEL_FREQ" localSheetId="1">'CVTv1.2a'!$Q$60</definedName>
    <definedName name="ACT_PIXEL_FREQ" localSheetId="0">'CVTv2.0'!$Q$21</definedName>
    <definedName name="ACT_PIXEL_FREQ">#REF!</definedName>
    <definedName name="ACT_VBI_LINES" localSheetId="1">'CVTv1.2a'!$Y$30</definedName>
    <definedName name="ACT_VBI_LINES" localSheetId="0">'CVTv2.0'!$U$39</definedName>
    <definedName name="ACT_VBI_LINES">#REF!</definedName>
    <definedName name="Additional_HBlank" localSheetId="1">'CVTv1.2a'!#REF!</definedName>
    <definedName name="Additional_HBlank" localSheetId="0">'CVTv2.0'!$K$20</definedName>
    <definedName name="Additional_HBlank">#REF!</definedName>
    <definedName name="ASPECT_RATIO" localSheetId="1">'CVTv1.2a'!$F$55</definedName>
    <definedName name="ASPECT_RATIO" localSheetId="0">'CVTv2.0'!$F$59</definedName>
    <definedName name="ASPECT_RATIO">#REF!</definedName>
    <definedName name="BOT_MARGIN" localSheetId="1">'CVTv1.2a'!$Q$44</definedName>
    <definedName name="BOT_MARGIN" localSheetId="0">'CVTv2.0'!#REF!</definedName>
    <definedName name="BOT_MARGIN">#REF!</definedName>
    <definedName name="C_PRIME" localSheetId="1">'CVTv1.2a'!$K$137</definedName>
    <definedName name="C_PRIME" localSheetId="0">'CVTv2.0'!#REF!</definedName>
    <definedName name="C_PRIME">#REF!</definedName>
    <definedName name="CELL_GRAN" localSheetId="1">'CVTv1.2a'!$K$106</definedName>
    <definedName name="CELL_GRAN" localSheetId="0">'CVTv2.0'!$K$92</definedName>
    <definedName name="CELL_GRAN">#REF!</definedName>
    <definedName name="CELL_GRAN_RND" localSheetId="1">'CVTv1.2a'!$Q$14</definedName>
    <definedName name="CELL_GRAN_RND" localSheetId="0">'CVTv2.0'!$U$12</definedName>
    <definedName name="CELL_GRAN_RND">#REF!</definedName>
    <definedName name="CLOCK_STEP" localSheetId="1">'CVTv1.2a'!$K$157</definedName>
    <definedName name="CLOCK_STEP" localSheetId="0">'CVTv2.0'!$K$113</definedName>
    <definedName name="CLOCK_STEP">#REF!</definedName>
    <definedName name="COARSE_CLOCK_STEP" localSheetId="1">'CVTv1.2a'!$K$158</definedName>
    <definedName name="COARSE_CLOCK_STEP" localSheetId="0">'CVTv2.0'!#REF!</definedName>
    <definedName name="COARSE_CLOCK_STEP">#REF!</definedName>
    <definedName name="CRT_EST_V_BPORCH" localSheetId="1">'CVTv1.2a'!$U$26</definedName>
    <definedName name="CRT_EST_V_BPORCH" localSheetId="0">'CVTv2.0'!#REF!</definedName>
    <definedName name="CRT_EST_V_BPORCH">#REF!</definedName>
    <definedName name="CRT_FIELD_RATE" localSheetId="1">'CVTv1.2a'!$U$57</definedName>
    <definedName name="CRT_FIELD_RATE" localSheetId="0">'CVTv2.0'!#REF!</definedName>
    <definedName name="CRT_FIELD_RATE">#REF!</definedName>
    <definedName name="CRT_FRAME_RATE" localSheetId="1">'CVTv1.2a'!$U$60</definedName>
    <definedName name="CRT_FRAME_RATE" localSheetId="0">'CVTv2.0'!#REF!</definedName>
    <definedName name="CRT_FRAME_RATE">#REF!</definedName>
    <definedName name="CRT_H_BLANK" localSheetId="1">'CVTv1.2a'!$U$44</definedName>
    <definedName name="CRT_H_BLANK" localSheetId="0">'CVTv2.0'!#REF!</definedName>
    <definedName name="CRT_H_BLANK">#REF!</definedName>
    <definedName name="CRT_H_FREQ" localSheetId="1">'CVTv1.2a'!$U$54</definedName>
    <definedName name="CRT_H_FREQ" localSheetId="0">'CVTv2.0'!#REF!</definedName>
    <definedName name="CRT_H_FREQ">#REF!</definedName>
    <definedName name="CRT_H_PERIOD_EST" localSheetId="1">'CVTv1.2a'!$U$20</definedName>
    <definedName name="CRT_H_PERIOD_EST" localSheetId="0">'CVTv2.0'!#REF!</definedName>
    <definedName name="CRT_H_PERIOD_EST">#REF!</definedName>
    <definedName name="CRT_H_TOTAL" localSheetId="1">'CVTv1.2a'!$U$47</definedName>
    <definedName name="CRT_H_TOTAL" localSheetId="0">'CVTv2.0'!#REF!</definedName>
    <definedName name="CRT_H_TOTAL">#REF!</definedName>
    <definedName name="CRT_PIXEL_FREQ" localSheetId="1">'CVTv1.2a'!$U$50</definedName>
    <definedName name="CRT_PIXEL_FREQ" localSheetId="0">'CVTv2.0'!#REF!</definedName>
    <definedName name="CRT_PIXEL_FREQ">#REF!</definedName>
    <definedName name="CRT_TOTAL_V_LINES" localSheetId="1">'CVTv1.2a'!$U$35</definedName>
    <definedName name="CRT_TOTAL_V_LINES" localSheetId="0">'CVTv2.0'!#REF!</definedName>
    <definedName name="CRT_TOTAL_V_LINES">#REF!</definedName>
    <definedName name="DP20MiscOverhead" localSheetId="1">'CVTv1.2a'!$Y$61</definedName>
    <definedName name="DP20MiscOverhead" localSheetId="0">'CVTv2.0'!$Y$51</definedName>
    <definedName name="DP20MiscOverhead">#REF!</definedName>
    <definedName name="DP20MisvOverhead" localSheetId="1">'CVTv1.2a'!$Y$61</definedName>
    <definedName name="DP20MisvOverhead" localSheetId="0">'CVTv2.0'!$Y$51</definedName>
    <definedName name="DP20MisvOverhead">#REF!</definedName>
    <definedName name="DPBitsPerPixel" localSheetId="1">'CVTv1.2a'!$K$30</definedName>
    <definedName name="DPBitsPerPixel" localSheetId="0">'CVTv2.0'!$K$32</definedName>
    <definedName name="DPBitsPerPixel">#REF!</definedName>
    <definedName name="DPLanes" localSheetId="1">'CVTv1.2a'!$K$31</definedName>
    <definedName name="DPLanes" localSheetId="0">'CVTv2.0'!$K$33</definedName>
    <definedName name="DPLanes">#REF!</definedName>
    <definedName name="DPModeEncodingOverhead" localSheetId="1">'CVTv1.2a'!$Y$59</definedName>
    <definedName name="DPModeEncodingOverhead" localSheetId="0">'CVTv2.0'!$Y$49</definedName>
    <definedName name="DPModeEncodingOverhead">#REF!</definedName>
    <definedName name="DPRate" localSheetId="1">'CVTv1.2a'!$K$32</definedName>
    <definedName name="DPRate" localSheetId="0">'CVTv2.0'!$K$34</definedName>
    <definedName name="DPRate">#REF!</definedName>
    <definedName name="DSCBitsPerPixel" localSheetId="1">'CVTv1.2a'!$K$33</definedName>
    <definedName name="DSCBitsPerPixel" localSheetId="0">'CVTv2.0'!$K$35</definedName>
    <definedName name="DSCBitsPerPixel">#REF!</definedName>
    <definedName name="DSCBitsPerPixel_Frac" localSheetId="1">'CVTv1.2a'!$K$34</definedName>
    <definedName name="DSCBitsPerPixel_Frac" localSheetId="0">'CVTv2.0'!$K$36</definedName>
    <definedName name="DSCBitsPerPixel_Frac">#REF!</definedName>
    <definedName name="EARLY_VSYNC_RQD" localSheetId="1">'CVTv1.2a'!#REF!</definedName>
    <definedName name="EARLY_VSYNC_RQD" localSheetId="0">'CVTv2.0'!$K$21</definedName>
    <definedName name="EARLY_VSYNC_RQD">#REF!</definedName>
    <definedName name="FECOverHead" localSheetId="1">'CVTv1.2a'!$Y$60</definedName>
    <definedName name="FECOverHead" localSheetId="0">'CVTv2.0'!$Y$50</definedName>
    <definedName name="FECOverHead">#REF!</definedName>
    <definedName name="FINE_CLOCK_STEP" localSheetId="1">'CVTv1.2a'!$K$159</definedName>
    <definedName name="FINE_CLOCK_STEP" localSheetId="0">'CVTv2.0'!$K$114</definedName>
    <definedName name="FINE_CLOCK_STEP">#REF!</definedName>
    <definedName name="FrameRate_Error" localSheetId="1">'CVTv1.2a'!$Y$57</definedName>
    <definedName name="FrameRate_Error" localSheetId="0">'CVTv2.0'!$Y$47</definedName>
    <definedName name="FrameRate_Error">#REF!</definedName>
    <definedName name="GTF_C_VAR" localSheetId="1">'CVTv1.2a'!$K$132</definedName>
    <definedName name="GTF_C_VAR" localSheetId="0">'CVTv2.0'!#REF!</definedName>
    <definedName name="GTF_C_VAR">#REF!</definedName>
    <definedName name="GTF_J_VAR" localSheetId="1">'CVTv1.2a'!$K$134</definedName>
    <definedName name="GTF_J_VAR" localSheetId="0">'CVTv2.0'!#REF!</definedName>
    <definedName name="GTF_J_VAR">#REF!</definedName>
    <definedName name="GTF_K_VAR" localSheetId="1">'CVTv1.2a'!$K$133</definedName>
    <definedName name="GTF_K_VAR" localSheetId="0">'CVTv2.0'!#REF!</definedName>
    <definedName name="GTF_K_VAR">#REF!</definedName>
    <definedName name="GTF_M_VAR" localSheetId="1">'CVTv1.2a'!$K$131</definedName>
    <definedName name="GTF_M_VAR" localSheetId="0">'CVTv2.0'!#REF!</definedName>
    <definedName name="GTF_M_VAR">#REF!</definedName>
    <definedName name="H_BACK_PORCH" localSheetId="1">'CVTv1.2a'!$Q$71</definedName>
    <definedName name="H_BACK_PORCH" localSheetId="0">'CVTv2.0'!$Q$32</definedName>
    <definedName name="H_BACK_PORCH">#REF!</definedName>
    <definedName name="H_BLANK" localSheetId="1">'CVTv1.2a'!$Q$65</definedName>
    <definedName name="H_BLANK" localSheetId="0">'CVTv2.0'!$Q$26</definedName>
    <definedName name="H_BLANK">#REF!</definedName>
    <definedName name="H_FRONT_PORCH" localSheetId="1">'CVTv1.2a'!$Q$67</definedName>
    <definedName name="H_FRONT_PORCH" localSheetId="0">'CVTv2.0'!$Q$28</definedName>
    <definedName name="H_FRONT_PORCH">#REF!</definedName>
    <definedName name="H_PERIOD_EST" localSheetId="1">'CVTv1.2a'!$Q$52</definedName>
    <definedName name="H_PERIOD_EST" localSheetId="0">'CVTv2.0'!$Q$14</definedName>
    <definedName name="H_PERIOD_EST">#REF!</definedName>
    <definedName name="H_PIXELS" localSheetId="1">'CVTv1.2a'!$K$14</definedName>
    <definedName name="H_PIXELS" localSheetId="0">'CVTv2.0'!$K$14</definedName>
    <definedName name="H_PIXELS">#REF!</definedName>
    <definedName name="H_PIXELS_RND" localSheetId="1">'CVTv1.2a'!$Q$26</definedName>
    <definedName name="H_PIXELS_RND" localSheetId="0">'CVTv2.0'!$U$20</definedName>
    <definedName name="H_PIXELS_RND">#REF!</definedName>
    <definedName name="H_SYNC_PER" localSheetId="1">'CVTv1.2a'!$U$15</definedName>
    <definedName name="H_SYNC_PER" localSheetId="0">'CVTv2.0'!#REF!</definedName>
    <definedName name="H_SYNC_PER">#REF!</definedName>
    <definedName name="H_SYNC_RND" localSheetId="1">'CVTv1.2a'!$Q$69</definedName>
    <definedName name="H_SYNC_RND" localSheetId="0">'CVTv2.0'!$Q$30</definedName>
    <definedName name="H_SYNC_RND">#REF!</definedName>
    <definedName name="IDEAL_DUTY_CYCLE" localSheetId="1">'CVTv1.2a'!$U$38</definedName>
    <definedName name="IDEAL_DUTY_CYCLE" localSheetId="0">'CVTv2.0'!#REF!</definedName>
    <definedName name="IDEAL_DUTY_CYCLE">#REF!</definedName>
    <definedName name="INT_RQD" localSheetId="1">'CVTv1.2a'!$K$17</definedName>
    <definedName name="INT_RQD" localSheetId="0">'CVTv2.0'!#REF!</definedName>
    <definedName name="INT_RQD">#REF!</definedName>
    <definedName name="INTERLACE" localSheetId="1">'CVTv1.2a'!$Q$47</definedName>
    <definedName name="INTERLACE" localSheetId="0">'CVTv2.0'!#REF!</definedName>
    <definedName name="INTERLACE">#REF!</definedName>
    <definedName name="IP_FREQ_RQD" localSheetId="1">'CVTv1.2a'!$K$18</definedName>
    <definedName name="IP_FREQ_RQD" localSheetId="0">'CVTv2.0'!$K$16</definedName>
    <definedName name="IP_FREQ_RQD">#REF!</definedName>
    <definedName name="LEFT_MARGIN" localSheetId="1">'CVTv1.2a'!$Q$29</definedName>
    <definedName name="LEFT_MARGIN" localSheetId="0">'CVTv2.0'!#REF!</definedName>
    <definedName name="LEFT_MARGIN">#REF!</definedName>
    <definedName name="M_PRIME" localSheetId="1">'CVTv1.2a'!$K$136</definedName>
    <definedName name="M_PRIME" localSheetId="0">'CVTv2.0'!#REF!</definedName>
    <definedName name="M_PRIME">#REF!</definedName>
    <definedName name="MARGIN_PER" localSheetId="1">'CVTv1.2a'!$Q$15</definedName>
    <definedName name="MARGIN_PER" localSheetId="0">'CVTv2.0'!#REF!</definedName>
    <definedName name="MARGIN_PER">#REF!</definedName>
    <definedName name="MARGINS_RQD" localSheetId="1">'CVTv1.2a'!$K$16</definedName>
    <definedName name="MARGINS_RQD" localSheetId="0">'CVTv2.0'!#REF!</definedName>
    <definedName name="MARGINS_RQD">#REF!</definedName>
    <definedName name="MIN_V_BPORCH" localSheetId="1">'CVTv1.2a'!$K$123</definedName>
    <definedName name="MIN_V_BPORCH" localSheetId="0">'CVTv2.0'!#REF!</definedName>
    <definedName name="MIN_V_BPORCH">#REF!</definedName>
    <definedName name="MIN_V_FPORCH" localSheetId="1">'CVTv1.2a'!$K$124</definedName>
    <definedName name="MIN_V_FPORCH" localSheetId="0">'CVTv2.0'!#REF!</definedName>
    <definedName name="MIN_V_FPORCH">#REF!</definedName>
    <definedName name="MIN_V_FPORCH_RND" localSheetId="1">'CVTv1.2a'!$Q$16</definedName>
    <definedName name="MIN_V_FPORCH_RND" localSheetId="0">'CVTv2.0'!#REF!</definedName>
    <definedName name="MIN_V_FPORCH_RND">#REF!</definedName>
    <definedName name="MIN_VSYNC_BP" localSheetId="1">'CVTv1.2a'!$U$14</definedName>
    <definedName name="MIN_VSYNC_BP" localSheetId="0">'CVTv2.0'!#REF!</definedName>
    <definedName name="MIN_VSYNC_BP">#REF!</definedName>
    <definedName name="PixelClockPPMAdj" localSheetId="1">'CVTv1.2a'!$K$173</definedName>
    <definedName name="PixelClockPPMAdj" localSheetId="0">'CVTv2.0'!$K$121</definedName>
    <definedName name="PixelClockPPMAdj">#REF!</definedName>
    <definedName name="_xlnm.Print_Area" localSheetId="1">'CVTv1.2a'!$A$42:$M$92</definedName>
    <definedName name="_xlnm.Print_Area" localSheetId="0">'CVTv2.0'!$A$46:$M$86</definedName>
    <definedName name="_xlnm.Print_Titles" localSheetId="1">'CVTv1.2a'!$1:$9</definedName>
    <definedName name="_xlnm.Print_Titles" localSheetId="0">'CVTv2.0'!$1:$9</definedName>
    <definedName name="RB_FIELD_RATE" localSheetId="1">'CVTv1.2a'!$Y$49</definedName>
    <definedName name="RB_FIELD_RATE" localSheetId="0">'CVTv2.0'!#REF!</definedName>
    <definedName name="RB_FIELD_RATE">#REF!</definedName>
    <definedName name="RB_FRAME_RATE" localSheetId="1">'CVTv1.2a'!$Y$52</definedName>
    <definedName name="RB_FRAME_RATE" localSheetId="0">'CVTv2.0'!$U$66</definedName>
    <definedName name="RB_FRAME_RATE">#REF!</definedName>
    <definedName name="RB_H_BLANK" localSheetId="1">'CVTv1.2a'!$Y$14</definedName>
    <definedName name="RB_H_BLANK" localSheetId="0">'CVTv2.0'!$U$74</definedName>
    <definedName name="RB_H_BLANK">#REF!</definedName>
    <definedName name="RB_H_FREQ" localSheetId="1">'CVTv1.2a'!$Y$46</definedName>
    <definedName name="RB_H_FREQ" localSheetId="0">'CVTv2.0'!$U$63</definedName>
    <definedName name="RB_H_FREQ">#REF!</definedName>
    <definedName name="RB_H_PERIOD_EST" localSheetId="1">'CVTv1.2a'!$Y$18</definedName>
    <definedName name="RB_H_PERIOD_EST" localSheetId="0">'CVTv2.0'!$U$28</definedName>
    <definedName name="RB_H_PERIOD_EST">#REF!</definedName>
    <definedName name="RB_H_SYNC" localSheetId="1">'CVTv1.2a'!$Y$13</definedName>
    <definedName name="RB_H_SYNC" localSheetId="0">'CVTv2.0'!$U$73</definedName>
    <definedName name="RB_H_SYNC">#REF!</definedName>
    <definedName name="RB_H_TOTAL" localSheetId="1">'CVTv1.2a'!$Y$36</definedName>
    <definedName name="RB_H_TOTAL" localSheetId="0">'CVTv2.0'!$U$51</definedName>
    <definedName name="RB_H_TOTAL">#REF!</definedName>
    <definedName name="RB_MIN_V_BLANK" localSheetId="1">'CVTv1.2a'!$Y$12</definedName>
    <definedName name="RB_MIN_V_BLANK" localSheetId="0">'CVTv2.0'!$U$72</definedName>
    <definedName name="RB_MIN_V_BLANK">#REF!</definedName>
    <definedName name="RB_MIN_V_BPORCH" localSheetId="1">'CVTv1.2a'!$K$152</definedName>
    <definedName name="RB_MIN_V_BPORCH" localSheetId="0">'CVTv2.0'!$K$109</definedName>
    <definedName name="RB_MIN_V_BPORCH">#REF!</definedName>
    <definedName name="RB_MIN_VBI" localSheetId="1">'CVTv1.2a'!$Y$29</definedName>
    <definedName name="RB_MIN_VBI" localSheetId="0">'CVTv2.0'!$U$38</definedName>
    <definedName name="RB_MIN_VBI">#REF!</definedName>
    <definedName name="RB_PIXEL_FREQ" localSheetId="1">'CVTv1.2a'!$Y$44</definedName>
    <definedName name="RB_PIXEL_FREQ" localSheetId="0">'CVTv2.0'!$U$60</definedName>
    <definedName name="RB_PIXEL_FREQ">#REF!</definedName>
    <definedName name="RB_TOTAL_V_LINES" localSheetId="1">'CVTv1.2a'!$Y$33</definedName>
    <definedName name="RB_TOTAL_V_LINES" localSheetId="0">'CVTv2.0'!$U$42</definedName>
    <definedName name="RB_TOTAL_V_LINES">#REF!</definedName>
    <definedName name="RB_V_FPORCH" localSheetId="1">'CVTv1.2a'!$K$148</definedName>
    <definedName name="RB_V_FPORCH" localSheetId="0">'CVTv2.0'!$K$106</definedName>
    <definedName name="RB_V_FPORCH">#REF!</definedName>
    <definedName name="RB_V3_ADD_V_BLANK" localSheetId="1">'CVTv1.2a'!#REF!</definedName>
    <definedName name="RB_V3_ADD_V_BLANK" localSheetId="0">'CVTv2.0'!$K$22</definedName>
    <definedName name="RB_V3_ADD_V_BLANK">#REF!</definedName>
    <definedName name="RED_BLANK_RQD" localSheetId="1">'CVTv1.2a'!$K$19</definedName>
    <definedName name="RED_BLANK_RQD" localSheetId="0">'CVTv2.0'!$K$17</definedName>
    <definedName name="RED_BLANK_RQD">#REF!</definedName>
    <definedName name="RED_BLANK_VER" localSheetId="1">'CVTv1.2a'!$K$20</definedName>
    <definedName name="RED_BLANK_VER" localSheetId="0">'CVTv2.0'!$K$18</definedName>
    <definedName name="RED_BLANK_VER">#REF!</definedName>
    <definedName name="RED_BLANK_VER2" localSheetId="1">'CVTv1.2a'!$K$20</definedName>
    <definedName name="RED_BLANK_VER2" localSheetId="0">'CVTv2.0'!$K$18</definedName>
    <definedName name="RED_BLANK_VER2">#REF!</definedName>
    <definedName name="RequiredRawDPLinkBW" localSheetId="1">'CVTv1.2a'!$K$37</definedName>
    <definedName name="RequiredRawDPLinkBW" localSheetId="0">'CVTv2.0'!$K$39</definedName>
    <definedName name="RequiredRawDPLinkBW">#REF!</definedName>
    <definedName name="RIGHT_MARGIN" localSheetId="1">'CVTv1.2a'!$Q$31</definedName>
    <definedName name="RIGHT_MARGIN" localSheetId="0">'CVTv2.0'!#REF!</definedName>
    <definedName name="RIGHT_MARGIN">#REF!</definedName>
    <definedName name="TargetDSCBitsPerPixel" localSheetId="1">'CVTv1.2a'!$K$35</definedName>
    <definedName name="TargetDSCBitsPerPixel" localSheetId="0">'CVTv2.0'!$K$37</definedName>
    <definedName name="TargetDSCBitsPerPixel">#REF!</definedName>
    <definedName name="TOP_MARGIN" localSheetId="1">'CVTv1.2a'!$Q$41</definedName>
    <definedName name="TOP_MARGIN" localSheetId="0">'CVTv2.0'!#REF!</definedName>
    <definedName name="TOP_MARGIN">#REF!</definedName>
    <definedName name="TOTAL_ACTIVE_PIXELS" localSheetId="1">'CVTv1.2a'!$Q$34</definedName>
    <definedName name="TOTAL_ACTIVE_PIXELS" localSheetId="0">'CVTv2.0'!$U$22</definedName>
    <definedName name="TOTAL_ACTIVE_PIXELS">#REF!</definedName>
    <definedName name="TOTAL_PIXELS" localSheetId="1">'CVTv1.2a'!$Q$63</definedName>
    <definedName name="TOTAL_PIXELS" localSheetId="0">'CVTv2.0'!$Q$24</definedName>
    <definedName name="TOTAL_PIXELS">#REF!</definedName>
    <definedName name="TOTAL_V_LINES" localSheetId="1">'CVTv1.2a'!$Q$74</definedName>
    <definedName name="TOTAL_V_LINES" localSheetId="0">'CVTv2.0'!$Q$35</definedName>
    <definedName name="TOTAL_V_LINES">#REF!</definedName>
    <definedName name="TransportOverhead" localSheetId="1">'CVTv1.2a'!$Y$85</definedName>
    <definedName name="TransportOverhead" localSheetId="0">'CVTv2.0'!$Y$75</definedName>
    <definedName name="TransportOverhead">#REF!</definedName>
    <definedName name="V_BACK_PORCH" localSheetId="1">'CVTv1.2a'!$Q$82</definedName>
    <definedName name="V_BACK_PORCH" localSheetId="0">'CVTv2.0'!$Q$43</definedName>
    <definedName name="V_BACK_PORCH">#REF!</definedName>
    <definedName name="V_BLANK" localSheetId="1">'CVTv1.2a'!$Q$76</definedName>
    <definedName name="V_BLANK" localSheetId="0">'CVTv2.0'!$Q$37</definedName>
    <definedName name="V_BLANK">#REF!</definedName>
    <definedName name="V_FIELD_RATE_RQD" localSheetId="1">'CVTv1.2a'!$Q$20</definedName>
    <definedName name="V_FIELD_RATE_RQD" localSheetId="0">'CVTv2.0'!$U$17</definedName>
    <definedName name="V_FIELD_RATE_RQD">#REF!</definedName>
    <definedName name="V_FRONT_PORCH" localSheetId="1">'CVTv1.2a'!$Q$78</definedName>
    <definedName name="V_FRONT_PORCH" localSheetId="0">'CVTv2.0'!$Q$39</definedName>
    <definedName name="V_FRONT_PORCH">#REF!</definedName>
    <definedName name="V_LINES" localSheetId="1">'CVTv1.2a'!$K$15</definedName>
    <definedName name="V_LINES" localSheetId="0">'CVTv2.0'!$K$15</definedName>
    <definedName name="V_LINES">#REF!</definedName>
    <definedName name="V_LINES_RND" localSheetId="1">'CVTv1.2a'!$Q$37</definedName>
    <definedName name="V_LINES_RND" localSheetId="0">'CVTv2.0'!$U$25</definedName>
    <definedName name="V_LINES_RND">#REF!</definedName>
    <definedName name="V_SYNC" localSheetId="1">'CVTv1.2a'!$K$114</definedName>
    <definedName name="V_SYNC" localSheetId="0">'CVTv2.0'!$K$96</definedName>
    <definedName name="V_SYNC">#REF!</definedName>
    <definedName name="V_SYNC_BP" localSheetId="1">'CVTv1.2a'!$U$28</definedName>
    <definedName name="V_SYNC_BP" localSheetId="0">'CVTv2.0'!#REF!</definedName>
    <definedName name="V_SYNC_BP">#REF!</definedName>
    <definedName name="V_SYNC_RND" localSheetId="1">'CVTv1.2a'!$Q$80</definedName>
    <definedName name="V_SYNC_RND" localSheetId="0">'CVTv2.0'!$Q$41</definedName>
    <definedName name="V_SYNC_RND">#REF!</definedName>
    <definedName name="VBI_LINES" localSheetId="1">'CVTv1.2a'!$Y$24</definedName>
    <definedName name="VBI_LINES" localSheetId="0">'CVTv2.0'!$U$33</definedName>
    <definedName name="VBI_LINES">#REF!</definedName>
    <definedName name="Version" localSheetId="1">'CVTv1.2a'!$L$19</definedName>
    <definedName name="Version" localSheetId="0">'CVTv2.0'!$L$17</definedName>
    <definedName name="Version">#REF!</definedName>
    <definedName name="VIDEO_OPT" localSheetId="1">'CVTv1.2a'!#REF!</definedName>
    <definedName name="VIDEO_OPT" localSheetId="0">'CVTv2.0'!$K$19</definedName>
    <definedName name="VIDEO_OPT">#REF!</definedName>
    <definedName name="VSYNC_WIDTH_TABLE" localSheetId="1">'CVTv1.2a'!$D$164:$E$171</definedName>
    <definedName name="VSYNC_WIDTH_TABLE" localSheetId="0">'CVTv2.0'!$D$120:$E$120</definedName>
    <definedName name="VSYNC_WIDTH_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3" i="6" l="1"/>
  <c r="AB14" i="6"/>
  <c r="AB22" i="6"/>
  <c r="AB24" i="6"/>
  <c r="M174" i="6"/>
  <c r="M159" i="6"/>
  <c r="M158" i="6"/>
  <c r="M154" i="6"/>
  <c r="M153" i="6"/>
  <c r="M150" i="6"/>
  <c r="M149" i="6"/>
  <c r="M147" i="6"/>
  <c r="M145" i="6"/>
  <c r="M144" i="6"/>
  <c r="M143" i="6"/>
  <c r="M142" i="6"/>
  <c r="M134" i="6"/>
  <c r="M133" i="6"/>
  <c r="M132" i="6"/>
  <c r="M131" i="6"/>
  <c r="M124" i="6"/>
  <c r="M123" i="6"/>
  <c r="M121" i="6"/>
  <c r="M115" i="6"/>
  <c r="M108" i="6"/>
  <c r="M107" i="6"/>
  <c r="K92" i="5"/>
  <c r="M92" i="5" s="1"/>
  <c r="M91" i="5" s="1"/>
  <c r="AB25" i="6"/>
  <c r="M121" i="5"/>
  <c r="M122" i="5"/>
  <c r="M123" i="5"/>
  <c r="M113" i="5"/>
  <c r="M114" i="5"/>
  <c r="M109" i="5"/>
  <c r="M110" i="5"/>
  <c r="M107" i="5"/>
  <c r="M106" i="5"/>
  <c r="M105" i="5"/>
  <c r="M103" i="5"/>
  <c r="M102" i="5"/>
  <c r="M98" i="5"/>
  <c r="M99" i="5"/>
  <c r="M96" i="5"/>
  <c r="M93" i="5"/>
  <c r="M94" i="5"/>
  <c r="K37" i="5"/>
  <c r="B39" i="5" s="1"/>
  <c r="Y12" i="6"/>
  <c r="U14" i="6"/>
  <c r="AC14" i="6"/>
  <c r="Q15" i="6"/>
  <c r="U15" i="6"/>
  <c r="Y13" i="6"/>
  <c r="Q16" i="6"/>
  <c r="AB18" i="6"/>
  <c r="AB19" i="6"/>
  <c r="AB20" i="6"/>
  <c r="AB21" i="6"/>
  <c r="O22" i="6"/>
  <c r="O28" i="6" s="1"/>
  <c r="O33" i="6" s="1"/>
  <c r="O36" i="6" s="1"/>
  <c r="O39" i="6" s="1"/>
  <c r="O46" i="6" s="1"/>
  <c r="Q37" i="6"/>
  <c r="L15" i="6" s="1"/>
  <c r="K35" i="6"/>
  <c r="B37" i="6" s="1"/>
  <c r="B38" i="6"/>
  <c r="Q47" i="6"/>
  <c r="T50" i="6"/>
  <c r="D49" i="6"/>
  <c r="E49" i="6"/>
  <c r="I49" i="6"/>
  <c r="K49" i="6"/>
  <c r="D51" i="6"/>
  <c r="E51" i="6"/>
  <c r="I51" i="6"/>
  <c r="K51" i="6"/>
  <c r="F54" i="6"/>
  <c r="F56" i="6"/>
  <c r="F57" i="6"/>
  <c r="F76" i="6"/>
  <c r="H76" i="6"/>
  <c r="J76" i="6"/>
  <c r="L76" i="6"/>
  <c r="I77" i="6"/>
  <c r="M77" i="6"/>
  <c r="I78" i="6"/>
  <c r="M78" i="6"/>
  <c r="F80" i="6"/>
  <c r="H80" i="6"/>
  <c r="J80" i="6"/>
  <c r="L80" i="6"/>
  <c r="I81" i="6"/>
  <c r="M81" i="6"/>
  <c r="I82" i="6"/>
  <c r="M82" i="6"/>
  <c r="I83" i="6"/>
  <c r="M83" i="6"/>
  <c r="I84" i="6"/>
  <c r="M84" i="6"/>
  <c r="I85" i="6"/>
  <c r="M85" i="6"/>
  <c r="I86" i="6"/>
  <c r="M86" i="6"/>
  <c r="C87" i="6"/>
  <c r="K106" i="6"/>
  <c r="Q14" i="6" s="1"/>
  <c r="K136" i="6"/>
  <c r="K137" i="6"/>
  <c r="K141" i="6"/>
  <c r="Y14" i="6" s="1"/>
  <c r="K148" i="6"/>
  <c r="K152" i="6"/>
  <c r="Y28" i="6" s="1"/>
  <c r="K157" i="6"/>
  <c r="X41" i="6" s="1"/>
  <c r="E165" i="6"/>
  <c r="E166" i="6" s="1"/>
  <c r="E167" i="6" s="1"/>
  <c r="E169" i="6" s="1"/>
  <c r="K173" i="6"/>
  <c r="Q20" i="6" s="1"/>
  <c r="K175" i="6"/>
  <c r="M175" i="6" s="1"/>
  <c r="M96" i="6" l="1"/>
  <c r="Q44" i="6"/>
  <c r="L86" i="6" s="1"/>
  <c r="Q41" i="6"/>
  <c r="J82" i="6" s="1"/>
  <c r="L78" i="6"/>
  <c r="J49" i="6"/>
  <c r="J78" i="6"/>
  <c r="X42" i="6"/>
  <c r="S19" i="6"/>
  <c r="S22" i="6" s="1"/>
  <c r="S31" i="6" s="1"/>
  <c r="S34" i="6" s="1"/>
  <c r="S37" i="6" s="1"/>
  <c r="S41" i="6" s="1"/>
  <c r="S46" i="6" s="1"/>
  <c r="S49" i="6" s="1"/>
  <c r="S53" i="6" s="1"/>
  <c r="S56" i="6" s="1"/>
  <c r="S59" i="6" s="1"/>
  <c r="W17" i="6"/>
  <c r="W20" i="6" s="1"/>
  <c r="W27" i="6" s="1"/>
  <c r="W32" i="6" s="1"/>
  <c r="W35" i="6" s="1"/>
  <c r="W39" i="6" s="1"/>
  <c r="W45" i="6" s="1"/>
  <c r="W48" i="6" s="1"/>
  <c r="W51" i="6" s="1"/>
  <c r="Q26" i="6"/>
  <c r="J53" i="6"/>
  <c r="E170" i="6"/>
  <c r="E171" i="6" s="1"/>
  <c r="AB16" i="6"/>
  <c r="F49" i="6"/>
  <c r="K113" i="5"/>
  <c r="K109" i="5"/>
  <c r="Q43" i="5" s="1"/>
  <c r="U45" i="5" s="1"/>
  <c r="K106" i="5"/>
  <c r="K98" i="5"/>
  <c r="U74" i="5" s="1"/>
  <c r="Q26" i="5" s="1"/>
  <c r="X20" i="5"/>
  <c r="X19" i="5"/>
  <c r="X18" i="5"/>
  <c r="X17" i="5"/>
  <c r="X12" i="5"/>
  <c r="F58" i="5"/>
  <c r="U25" i="5"/>
  <c r="X14" i="5" s="1"/>
  <c r="Y12" i="5"/>
  <c r="K123" i="5"/>
  <c r="U12" i="5"/>
  <c r="U20" i="5" s="1"/>
  <c r="C84" i="5"/>
  <c r="F61" i="5"/>
  <c r="F60" i="5"/>
  <c r="B40" i="5"/>
  <c r="H22" i="5"/>
  <c r="S19" i="5"/>
  <c r="X16" i="5"/>
  <c r="U73" i="5"/>
  <c r="U72" i="5"/>
  <c r="U71" i="5"/>
  <c r="U70" i="5"/>
  <c r="Q29" i="6" l="1"/>
  <c r="Q31" i="6"/>
  <c r="U20" i="6"/>
  <c r="U26" i="6" s="1"/>
  <c r="L82" i="6"/>
  <c r="Y18" i="6"/>
  <c r="Y25" i="6" s="1"/>
  <c r="J86" i="6"/>
  <c r="L14" i="6"/>
  <c r="F48" i="6"/>
  <c r="H61" i="6"/>
  <c r="J61" i="6"/>
  <c r="AB15" i="6"/>
  <c r="U31" i="5"/>
  <c r="U22" i="5"/>
  <c r="K121" i="5"/>
  <c r="U17" i="5" s="1"/>
  <c r="U28" i="5" s="1"/>
  <c r="Q14" i="5" s="1"/>
  <c r="F53" i="5"/>
  <c r="J77" i="5"/>
  <c r="L15" i="5"/>
  <c r="F52" i="5"/>
  <c r="L14" i="5"/>
  <c r="J65" i="5"/>
  <c r="H65" i="5"/>
  <c r="X13" i="5"/>
  <c r="T57" i="5"/>
  <c r="J57" i="5"/>
  <c r="T58" i="5"/>
  <c r="U37" i="5"/>
  <c r="Y24" i="6" l="1"/>
  <c r="Q34" i="6"/>
  <c r="Y36" i="6" s="1"/>
  <c r="J74" i="6"/>
  <c r="H74" i="6"/>
  <c r="J70" i="6"/>
  <c r="H70" i="6"/>
  <c r="Q52" i="6"/>
  <c r="U38" i="6" s="1"/>
  <c r="U27" i="6"/>
  <c r="F55" i="6"/>
  <c r="K114" i="6" s="1"/>
  <c r="Q80" i="6" s="1"/>
  <c r="A43" i="6"/>
  <c r="U33" i="5"/>
  <c r="S36" i="5"/>
  <c r="S41" i="5" s="1"/>
  <c r="S62" i="5" s="1"/>
  <c r="S65" i="5" s="1"/>
  <c r="F59" i="5"/>
  <c r="Q41" i="5" s="1"/>
  <c r="J82" i="5" s="1"/>
  <c r="A47" i="5"/>
  <c r="U34" i="5"/>
  <c r="U51" i="5"/>
  <c r="Q24" i="5" s="1"/>
  <c r="U44" i="6" l="1"/>
  <c r="U47" i="6" s="1"/>
  <c r="U50" i="6" s="1"/>
  <c r="U54" i="6" s="1"/>
  <c r="F66" i="6"/>
  <c r="L84" i="6"/>
  <c r="Y29" i="6"/>
  <c r="Y30" i="6" s="1"/>
  <c r="J84" i="6"/>
  <c r="U28" i="6"/>
  <c r="AB17" i="6"/>
  <c r="AA32" i="6" s="1"/>
  <c r="H55" i="6"/>
  <c r="U38" i="5"/>
  <c r="U39" i="5" s="1"/>
  <c r="H59" i="5"/>
  <c r="X15" i="5"/>
  <c r="Q65" i="6" l="1"/>
  <c r="H65" i="6" s="1"/>
  <c r="D22" i="6"/>
  <c r="J22" i="6"/>
  <c r="Q63" i="6"/>
  <c r="Q69" i="6" s="1"/>
  <c r="J72" i="6" s="1"/>
  <c r="U51" i="6"/>
  <c r="Y33" i="6"/>
  <c r="Q76" i="6"/>
  <c r="U32" i="6"/>
  <c r="U35" i="6"/>
  <c r="U57" i="6" s="1"/>
  <c r="U60" i="6" s="1"/>
  <c r="U42" i="5"/>
  <c r="Q35" i="5" s="1"/>
  <c r="Q37" i="5"/>
  <c r="Q39" i="5" s="1"/>
  <c r="U48" i="5" s="1"/>
  <c r="Q30" i="5"/>
  <c r="H64" i="6" l="1"/>
  <c r="J64" i="6"/>
  <c r="J65" i="6"/>
  <c r="Y43" i="6"/>
  <c r="Y42" i="6"/>
  <c r="F69" i="6"/>
  <c r="F68" i="6"/>
  <c r="J60" i="6"/>
  <c r="H72" i="6"/>
  <c r="H60" i="6"/>
  <c r="L81" i="6"/>
  <c r="Q74" i="6"/>
  <c r="Y41" i="6"/>
  <c r="J81" i="6"/>
  <c r="U58" i="5"/>
  <c r="U59" i="5"/>
  <c r="U57" i="5"/>
  <c r="J76" i="5"/>
  <c r="J69" i="5"/>
  <c r="H69" i="5"/>
  <c r="H64" i="5"/>
  <c r="J64" i="5"/>
  <c r="J80" i="5"/>
  <c r="F70" i="5"/>
  <c r="H68" i="5"/>
  <c r="J68" i="5"/>
  <c r="H72" i="5"/>
  <c r="J72" i="5"/>
  <c r="J77" i="6" l="1"/>
  <c r="L77" i="6"/>
  <c r="Y44" i="6"/>
  <c r="Q60" i="6" s="1"/>
  <c r="K37" i="6" s="1"/>
  <c r="K38" i="6" s="1"/>
  <c r="U60" i="5"/>
  <c r="U63" i="5" s="1"/>
  <c r="F60" i="6" l="1"/>
  <c r="A45" i="6" s="1"/>
  <c r="F61" i="6"/>
  <c r="F65" i="6"/>
  <c r="F64" i="6"/>
  <c r="F53" i="6"/>
  <c r="F74" i="6"/>
  <c r="F70" i="6"/>
  <c r="F52" i="6"/>
  <c r="K36" i="6"/>
  <c r="F72" i="6"/>
  <c r="Y46" i="6"/>
  <c r="Y49" i="6" s="1"/>
  <c r="Y52" i="6" s="1"/>
  <c r="Q58" i="6" s="1"/>
  <c r="Q21" i="5"/>
  <c r="U66" i="5"/>
  <c r="Q19" i="5" s="1"/>
  <c r="Q17" i="5"/>
  <c r="F77" i="5" s="1"/>
  <c r="Q57" i="6" l="1"/>
  <c r="J51" i="6" s="1"/>
  <c r="Q55" i="6"/>
  <c r="F69" i="5"/>
  <c r="K39" i="5"/>
  <c r="K40" i="5" s="1"/>
  <c r="F51" i="6"/>
  <c r="G18" i="6"/>
  <c r="F80" i="5"/>
  <c r="F82" i="5"/>
  <c r="F72" i="5"/>
  <c r="F64" i="5"/>
  <c r="X21" i="5" s="1"/>
  <c r="F57" i="5"/>
  <c r="F65" i="5"/>
  <c r="F56" i="5"/>
  <c r="K38" i="5"/>
  <c r="F68" i="5"/>
  <c r="F76" i="5"/>
  <c r="F54" i="5"/>
  <c r="F55" i="5"/>
  <c r="G16" i="5"/>
  <c r="F82" i="6" l="1"/>
  <c r="H86" i="6"/>
  <c r="H82" i="6"/>
  <c r="H78" i="6"/>
  <c r="H84" i="6"/>
  <c r="H81" i="6"/>
  <c r="H77" i="6"/>
  <c r="F77" i="6"/>
  <c r="F81" i="6"/>
  <c r="F78" i="6"/>
  <c r="F50" i="6"/>
  <c r="F86" i="6"/>
  <c r="F84" i="6"/>
  <c r="W25" i="5"/>
  <c r="J24" i="5" s="1"/>
  <c r="J81" i="5"/>
  <c r="F81" i="5"/>
  <c r="J83" i="5"/>
  <c r="F83" i="5"/>
  <c r="D24" i="5" l="1"/>
  <c r="A49" i="5" s="1"/>
  <c r="Q71" i="6" l="1"/>
  <c r="Q67" i="6" s="1"/>
  <c r="H73" i="6" l="1"/>
  <c r="J71" i="6"/>
  <c r="H71" i="6"/>
  <c r="F71" i="6"/>
  <c r="J73" i="6"/>
  <c r="F73" i="6"/>
  <c r="Q78" i="6" l="1"/>
  <c r="Q82" i="6" s="1"/>
  <c r="J85" i="6" s="1"/>
  <c r="H85" i="6" l="1"/>
  <c r="F85" i="6"/>
  <c r="L85" i="6"/>
  <c r="J83" i="6"/>
  <c r="H83" i="6"/>
  <c r="F83" i="6"/>
  <c r="L83" i="6"/>
  <c r="Q28" i="5" l="1"/>
  <c r="H71" i="5" l="1"/>
  <c r="Q32" i="5"/>
  <c r="J71" i="5"/>
  <c r="F71" i="5"/>
  <c r="J73" i="5" l="1"/>
  <c r="H73" i="5"/>
  <c r="F73" i="5"/>
  <c r="U54" i="5"/>
</calcChain>
</file>

<file path=xl/sharedStrings.xml><?xml version="1.0" encoding="utf-8"?>
<sst xmlns="http://schemas.openxmlformats.org/spreadsheetml/2006/main" count="631" uniqueCount="334">
  <si>
    <t>Note:</t>
  </si>
  <si>
    <t>n</t>
  </si>
  <si>
    <t>HOR PIXELS</t>
  </si>
  <si>
    <t>PIXELS</t>
  </si>
  <si>
    <t>VER PIXELS</t>
  </si>
  <si>
    <t>LINES</t>
  </si>
  <si>
    <t>HOR FREQUENCY</t>
  </si>
  <si>
    <t>kHz</t>
  </si>
  <si>
    <t>(Actual value =)</t>
  </si>
  <si>
    <t>Hz</t>
  </si>
  <si>
    <t xml:space="preserve">Total lines = </t>
  </si>
  <si>
    <t>PIXEL CLOCK</t>
  </si>
  <si>
    <t>MHz</t>
  </si>
  <si>
    <t xml:space="preserve">CHARACTER WIDTH </t>
  </si>
  <si>
    <t>ns</t>
  </si>
  <si>
    <t>Total number of pixels=</t>
  </si>
  <si>
    <t>SCAN TYPE</t>
  </si>
  <si>
    <t>PREDICTED H BLANK DUTY CYCLE</t>
  </si>
  <si>
    <t>%</t>
  </si>
  <si>
    <t>us</t>
  </si>
  <si>
    <t>CHARS</t>
  </si>
  <si>
    <t>ACTUAL HOR BLANK DUTY CYCLE</t>
  </si>
  <si>
    <t>ACT. HOR BLNK+MARGIN DUTY CYCLE</t>
  </si>
  <si>
    <t xml:space="preserve">H LEFT MARGIN </t>
  </si>
  <si>
    <t xml:space="preserve">H FRONT PORCH </t>
  </si>
  <si>
    <t>H BACK PORCH</t>
  </si>
  <si>
    <t>H RIGHT MARGIN</t>
  </si>
  <si>
    <t>ms</t>
  </si>
  <si>
    <t>V TOP MARGIN</t>
  </si>
  <si>
    <t>V FRONT PORCH</t>
  </si>
  <si>
    <t>V BACK PORCH</t>
  </si>
  <si>
    <t>V BOTTOM MARGIN</t>
  </si>
  <si>
    <t xml:space="preserve">Side MARGINs are proportional to the ratio of image H/V pixels </t>
  </si>
  <si>
    <t>GIVE:</t>
  </si>
  <si>
    <t>Vertical sync width (in lines) will be rounded down to nearest integer</t>
  </si>
  <si>
    <t>Horizontal sync width will be rounded to nearest char cell boundary</t>
  </si>
  <si>
    <t xml:space="preserve">Vertical blanking time will rounded to nearest integer number of lines </t>
  </si>
  <si>
    <t>5) Definition of Horizontal blanking time limitation:</t>
  </si>
  <si>
    <t>Generalized blanking limitation formula used of the form:</t>
  </si>
  <si>
    <t xml:space="preserve">&lt;H BLANKING TIME (%)&gt; =C - ( M / Fh)  </t>
  </si>
  <si>
    <t>Where:</t>
  </si>
  <si>
    <t>HOR TOTAL</t>
  </si>
  <si>
    <t>HOR ADDR</t>
  </si>
  <si>
    <t>HOR BLANK</t>
  </si>
  <si>
    <t>HOR BLANK+MARGIN</t>
  </si>
  <si>
    <t>HOR SYNC</t>
  </si>
  <si>
    <t>VER TOTAL</t>
  </si>
  <si>
    <t>VER ADDR</t>
  </si>
  <si>
    <t>VER BLANK</t>
  </si>
  <si>
    <t>VER SYNC</t>
  </si>
  <si>
    <t>(from GTF blanking formula)</t>
  </si>
  <si>
    <t>ACTUAL VER FREQUENCY</t>
  </si>
  <si>
    <t>M' = K / 256 * M</t>
  </si>
  <si>
    <t>C' = ( ( C - J ) * K / 256 ) + J</t>
  </si>
  <si>
    <t>REDUCED BLANKING SCRATCH PAD:</t>
  </si>
  <si>
    <t>(Actual value)</t>
  </si>
  <si>
    <t>COMMON TIMING PARAMETERS:</t>
  </si>
  <si>
    <t>RESULTS:</t>
  </si>
  <si>
    <t>Actual Pixel Clock (MHz):</t>
  </si>
  <si>
    <t>Actual Vertical Frequency (Hz):</t>
  </si>
  <si>
    <t>Actual Horizontal Frequency (kHz):</t>
  </si>
  <si>
    <t>Horizontal Total (Pixels):</t>
  </si>
  <si>
    <t>Horizontal Blanking (Pixels):</t>
  </si>
  <si>
    <t>Vertical Total (lines):</t>
  </si>
  <si>
    <t>Hor Front Porch:</t>
  </si>
  <si>
    <t>Hor Sync:</t>
  </si>
  <si>
    <t>Hor Back Porch:</t>
  </si>
  <si>
    <t>Vertical Blanking (lines):</t>
  </si>
  <si>
    <t>Ver Front Porch:</t>
  </si>
  <si>
    <t>Ver Sync:</t>
  </si>
  <si>
    <t>Ver Back Porch:</t>
  </si>
  <si>
    <t>STATUS:</t>
  </si>
  <si>
    <t>ASPECT RATIO</t>
  </si>
  <si>
    <t>STANDARD TIMING:</t>
  </si>
  <si>
    <t>REDUCED BLANKING TIMING:</t>
  </si>
  <si>
    <t>HORIZONTAL PIXELS</t>
  </si>
  <si>
    <t>DETERMINE LEFT &amp; RIGHT BORDERS</t>
  </si>
  <si>
    <t>FIND TOTAL ACTIVE PIXELS</t>
  </si>
  <si>
    <t>FIND NUMBER OF LINES PER FIELD</t>
  </si>
  <si>
    <t>FIND TOP &amp; BOTTOM MARGINS</t>
  </si>
  <si>
    <t>INTERLACE</t>
  </si>
  <si>
    <t>CONSTANTS:</t>
  </si>
  <si>
    <t>SPEC STEP #:</t>
  </si>
  <si>
    <t>Estimated Horizontal Frequency (kHz):</t>
  </si>
  <si>
    <t xml:space="preserve">H_PERIOD_EST = </t>
  </si>
  <si>
    <t xml:space="preserve">ACT_H_FREQ = </t>
  </si>
  <si>
    <t xml:space="preserve">ACT_FRAME_RATE = </t>
  </si>
  <si>
    <t xml:space="preserve">ACT_PIXEL_FREQ = </t>
  </si>
  <si>
    <t xml:space="preserve">TOTAL_PIXELS = </t>
  </si>
  <si>
    <t xml:space="preserve">H_BLANK = </t>
  </si>
  <si>
    <t xml:space="preserve">H_FRONT_PORCH = </t>
  </si>
  <si>
    <t xml:space="preserve">H_SYNC_RND = </t>
  </si>
  <si>
    <t xml:space="preserve">H_BACK_PORCH = </t>
  </si>
  <si>
    <t xml:space="preserve">TOTAL_V_LINES = </t>
  </si>
  <si>
    <t xml:space="preserve">V_BLANK = </t>
  </si>
  <si>
    <t xml:space="preserve">V_FRONT_PORCH = </t>
  </si>
  <si>
    <t xml:space="preserve">V_SYNC_RND = </t>
  </si>
  <si>
    <t xml:space="preserve">H_PIXELS_RND = </t>
  </si>
  <si>
    <t xml:space="preserve">LEFT_MARGIN = </t>
  </si>
  <si>
    <t xml:space="preserve">RIGHT_MARGIN = </t>
  </si>
  <si>
    <t xml:space="preserve">TOTAL_ACTIVE_PIXELS = </t>
  </si>
  <si>
    <t xml:space="preserve">V_LINES_RND = </t>
  </si>
  <si>
    <t xml:space="preserve">TOP_MARGIN = </t>
  </si>
  <si>
    <t xml:space="preserve">BOT_MARGIN = </t>
  </si>
  <si>
    <t xml:space="preserve">INTERLACE = </t>
  </si>
  <si>
    <t>V_SYNC_BP</t>
  </si>
  <si>
    <t>IDEAL_DUTY_CYCLE</t>
  </si>
  <si>
    <t xml:space="preserve">VBI_LINES = </t>
  </si>
  <si>
    <t>H_SYNC_PER (%) =</t>
  </si>
  <si>
    <t>RB_MIN_V_BLANK (us) =</t>
  </si>
  <si>
    <t>RB_H_SYNC (Pixels) =</t>
  </si>
  <si>
    <t>RB_H_BLANK (Pixels) =</t>
  </si>
  <si>
    <t>CELL_GRAN_RND (Pixels) =</t>
  </si>
  <si>
    <t>MARGIN_PER (%) =</t>
  </si>
  <si>
    <t xml:space="preserve">V_FIELD_RATE (Hz) = </t>
  </si>
  <si>
    <t>REQUIRED FIELD RATE</t>
  </si>
  <si>
    <t>Estimated H period =</t>
  </si>
  <si>
    <t>Back porch =</t>
  </si>
  <si>
    <t>FIND PIXEL CLOCK FREQUENCY (MHz):</t>
  </si>
  <si>
    <t>Non-rounded value =</t>
  </si>
  <si>
    <t>FIND ACTUAL HORIZONTAL FREQUENCY (kHz):</t>
  </si>
  <si>
    <t xml:space="preserve">Horiz. freq = </t>
  </si>
  <si>
    <t>FIND ACTUAL FIELD RATE (Hz):</t>
  </si>
  <si>
    <t>FIND ACTUAL VERTICAL  FRAME FREQUENCY (Hz):</t>
  </si>
  <si>
    <t>ESTIMATE HORIZ. PERIOD (us):</t>
  </si>
  <si>
    <t>FIND NUMBER OF LINES IN (SYNC + BACK PORCH):</t>
  </si>
  <si>
    <t>FIND NUMBER OF LINES IN BACK PORCH (Lines):</t>
  </si>
  <si>
    <t>FIND TOTAL NUMBER OF LINES IN VERTICAL FIELD:</t>
  </si>
  <si>
    <t>FIND IDEAL BLANKING DUTY CYCLE FROM FORMULA (%):</t>
  </si>
  <si>
    <t>FIND BLANKING TIME TO NEAREST CHAR CELL (Pixels):</t>
  </si>
  <si>
    <t>FIND TOTAL NUMBER OF PIXELS IN A LINE (Pixels):</t>
  </si>
  <si>
    <t>FIND NUMBER OF LINES IN VERTICAL BLANKING:</t>
  </si>
  <si>
    <t>ACT_FIELD_RATE =</t>
  </si>
  <si>
    <t>Actual vertical field rate =</t>
  </si>
  <si>
    <t>Actual vertical frame rate =</t>
  </si>
  <si>
    <t>CHECKS:</t>
  </si>
  <si>
    <t>ERROR/WARNING MESSAGE</t>
  </si>
  <si>
    <t>Unlock Password: VESACVT</t>
  </si>
  <si>
    <t>VESA COORDINATED VIDEO TIMING</t>
  </si>
  <si>
    <t xml:space="preserve">GENERATOR </t>
  </si>
  <si>
    <t>1)</t>
  </si>
  <si>
    <t>Custom</t>
  </si>
  <si>
    <t>Reserved</t>
  </si>
  <si>
    <t>CHECK VERTICAL BLANKING IS SUFFICENT</t>
  </si>
  <si>
    <t>ACT_VBI_LINES =</t>
  </si>
  <si>
    <t>Description</t>
  </si>
  <si>
    <t>Standard CRT Based Timing (CVT-GTF)</t>
  </si>
  <si>
    <t>HSYNC POLARITY</t>
  </si>
  <si>
    <t>VSYNC POLARITY</t>
  </si>
  <si>
    <t>NEGATIVE</t>
  </si>
  <si>
    <t>POSITIVE</t>
  </si>
  <si>
    <t>16:9</t>
  </si>
  <si>
    <t>4:3</t>
  </si>
  <si>
    <t>16:10</t>
  </si>
  <si>
    <t>15:9</t>
  </si>
  <si>
    <t>5:4</t>
  </si>
  <si>
    <t>Minimum VBI Lines=</t>
  </si>
  <si>
    <t>STANDARD CRT TIMING SCRATCH PAD:</t>
  </si>
  <si>
    <t>Estimated V_SYNC_BP</t>
  </si>
  <si>
    <t>PIXEL CLOCK STEP (MHz):</t>
  </si>
  <si>
    <t xml:space="preserve">MIN_VSYNC_BP (uS) = </t>
  </si>
  <si>
    <t>Top/ bottom MARGIN size as % of height  (%)  {DEFAULT = 1.8}</t>
  </si>
  <si>
    <t>ASPECT RATIO VARIABLES:</t>
  </si>
  <si>
    <t>Hsync</t>
  </si>
  <si>
    <t>Vsync</t>
  </si>
  <si>
    <t>VSYNC WIDTH</t>
  </si>
  <si>
    <t>HSYNC / VSYNC POLARITY</t>
  </si>
  <si>
    <t>Lines</t>
  </si>
  <si>
    <t>Fixed number of clocks for horizontal blanking</t>
  </si>
  <si>
    <t>y</t>
  </si>
  <si>
    <t xml:space="preserve">Vertical front porch </t>
  </si>
  <si>
    <t xml:space="preserve">Vertical back porch lines </t>
  </si>
  <si>
    <t>Comments, bugs, call VESA office</t>
  </si>
  <si>
    <t>Lanes</t>
  </si>
  <si>
    <t>Gbps</t>
  </si>
  <si>
    <t>bpp</t>
  </si>
  <si>
    <t>Required Data Bandwidth for the timing</t>
  </si>
  <si>
    <t>MINIMUM REFRESH RATE +VE COMPENSATION ADJUSTMENT IN PPM :</t>
  </si>
  <si>
    <t>Target Display Stream Compression bits per pixel (0 means no compression)</t>
  </si>
  <si>
    <t>Blanking pixels =</t>
  </si>
  <si>
    <t>Reduced blank clock step</t>
  </si>
  <si>
    <t>Actual pixel clock frequency (MHz) =</t>
  </si>
  <si>
    <t>RB ver 2 &amp; 3</t>
  </si>
  <si>
    <r>
      <t>Reduced Blanking (CVT-RB ver v1, v2</t>
    </r>
    <r>
      <rPr>
        <sz val="13.5"/>
        <color rgb="FFFF0000"/>
        <rFont val="Arial"/>
        <family val="2"/>
      </rPr>
      <t xml:space="preserve">, </t>
    </r>
    <r>
      <rPr>
        <sz val="13.5"/>
        <rFont val="Arial"/>
        <family val="2"/>
      </rPr>
      <t xml:space="preserve">v3) </t>
    </r>
  </si>
  <si>
    <t>Fixed Horizontal Front Porch For reduced blank version 3</t>
  </si>
  <si>
    <t>Only ratio of MARGIN to image is important. Top and Bottom MARGINs are equal</t>
  </si>
  <si>
    <t>CELL_GRAN</t>
  </si>
  <si>
    <t>V_SYNC</t>
  </si>
  <si>
    <t>MIN_V_BPORCH</t>
  </si>
  <si>
    <t>MIN_V_FPORCH</t>
  </si>
  <si>
    <t xml:space="preserve">Number of lines for vertical sync (lines)  </t>
  </si>
  <si>
    <t>{Derived from table}. DO NOT MODIFY</t>
  </si>
  <si>
    <t xml:space="preserve">Target H sync width (% of line period),                                                       </t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</si>
  <si>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MODIFY.</t>
    </r>
  </si>
  <si>
    <t>Horizontal Cell Granularity for Standard blanking and Reduced Blanking v1 and v3</t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</si>
  <si>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</si>
  <si>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Horizontal Cell Granularity for Reduced Blanking v2</t>
  </si>
  <si>
    <r>
      <t xml:space="preserve">VALUE = 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</si>
  <si>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time of vertical sync+back porch interval for CRT (us)</t>
  </si>
  <si>
    <r>
      <t xml:space="preserve">VALUE=550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</si>
  <si>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VALUE=7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</si>
  <si>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VALUE=3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</si>
  <si>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MIN_VSYNC_BP</t>
  </si>
  <si>
    <t>M (gradient) (%/kHz)</t>
  </si>
  <si>
    <t>C (offset) (%)</t>
  </si>
  <si>
    <t xml:space="preserve">K (blanking time scaling factor) </t>
  </si>
  <si>
    <t>J (scaling factor weighting)</t>
  </si>
  <si>
    <r>
      <t xml:space="preserve">VALUE=600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</si>
  <si>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VALUE=40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</si>
  <si>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VALUE=128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</si>
  <si>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VALUE=20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</si>
  <si>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Computed Value. DO NOT MODIFY</t>
  </si>
  <si>
    <t>Minimum number of vertical back porch lines for CRT.</t>
  </si>
  <si>
    <t>Character cell horizontal granularity (pixels)</t>
  </si>
  <si>
    <r>
      <t xml:space="preserve">VALUE=160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</si>
  <si>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VALUE=80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</si>
  <si>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For reduced blank version 1</t>
  </si>
  <si>
    <t>For reduced blank version 2 &amp; 3. 
Version 3 may add additional pixels in the main form, step 8b) above.</t>
  </si>
  <si>
    <r>
      <t xml:space="preserve">VALUE = 32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MODIFY.</t>
    </r>
  </si>
  <si>
    <t xml:space="preserve">Fixed number of clocks for horizontal sync </t>
  </si>
  <si>
    <r>
      <t xml:space="preserve">VALUE=460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</si>
  <si>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</si>
  <si>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Fixed number of lines for vertical front porch for reduced blank version 1</t>
  </si>
  <si>
    <t>Minimum number of vertical front porch lines reduced blank version 2 &amp; 3</t>
  </si>
  <si>
    <r>
      <t xml:space="preserve">VALUE=6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</si>
  <si>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number of vertical back porch lines for reduced blank version 1</t>
  </si>
  <si>
    <r>
      <t xml:space="preserve">VALUE=0.25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</si>
  <si>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VALUE=0.001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</si>
  <si>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Minimum vertical blanking interval time (us)</t>
  </si>
  <si>
    <t>Pixel clock compensation for standard and reduced blank version 1 &amp; 2</t>
  </si>
  <si>
    <t>Pixel clock compensation for reduced blank version 3</t>
  </si>
  <si>
    <r>
      <t xml:space="preserve">VALUE=0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</si>
  <si>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r>
      <t xml:space="preserve">VALUE=350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 DO NOT MODIFY.</t>
    </r>
  </si>
  <si>
    <t>Clock Step for standard and reduced blank version 1</t>
  </si>
  <si>
    <t>Clock Step for reduced blank version 2 and higher</t>
  </si>
  <si>
    <t>RB_V_FPORCH</t>
  </si>
  <si>
    <t>RB_MIN_V_BPORCH</t>
  </si>
  <si>
    <t>CLOCK_STEP</t>
  </si>
  <si>
    <t>COARSE_CLOCK_STEP</t>
  </si>
  <si>
    <t>FINE_CLOCK_STEP</t>
  </si>
  <si>
    <t>Timing Matches Macros</t>
  </si>
  <si>
    <t xml:space="preserve"> </t>
  </si>
  <si>
    <t xml:space="preserve">MIN_V_FPORCH_RND (Lines) = </t>
  </si>
  <si>
    <t>1) These are the values that define the MARGIN size:</t>
  </si>
  <si>
    <t>2) This value defines the horizontal timing boundaries:</t>
  </si>
  <si>
    <t>3) These values define analog system sync pulse width limitations:</t>
  </si>
  <si>
    <t>4) These values define analog scan system vertical blanking time limitations:</t>
  </si>
  <si>
    <t>Minimum vertical front porch (no of lines) for CRT</t>
  </si>
  <si>
    <t>Fixed number of vertical back porch lines for reduced blank version 2 &amp; 3</t>
  </si>
  <si>
    <t>PARAMETER VALUES</t>
  </si>
  <si>
    <t>Added Reduced Blanking version 3 support</t>
  </si>
  <si>
    <t>Minimum RB_MIN_V_BPORCH</t>
  </si>
  <si>
    <t>6) Enter (Y or N) If You Want Reduced Blanking Here   =&gt;</t>
  </si>
  <si>
    <t>3) Enter (Y or N) If You Want Margins  =&gt;</t>
  </si>
  <si>
    <t>4) Enter (Y or N) If You Want Interlace  =&gt;</t>
  </si>
  <si>
    <t>RB_V3_ADD_V_BLANK (us) =</t>
  </si>
  <si>
    <t>RB_MIN_V_BLANK +  RB_V3_ADD_V_BLANK (us) =</t>
  </si>
  <si>
    <t>by Shaylesh Mehta, Syed Athar Hussain, Chris Pasqualino</t>
  </si>
  <si>
    <t>Applicable only if  answer to question 6 is "Y"</t>
  </si>
  <si>
    <t>3)</t>
  </si>
  <si>
    <t>Addition of reduced blank version 3 selector, ignore NTSC multiple and output error if selected</t>
  </si>
  <si>
    <t>V_FIELD_RATE_PPM_ADJ (ppm) =</t>
  </si>
  <si>
    <t>Add V_FIELD_RATE_PPM_ADJ and apply when RB3 selected</t>
  </si>
  <si>
    <t xml:space="preserve">Add Input names from specification to input cell description </t>
  </si>
  <si>
    <t>Error checking for interlaced in RB2/3, additional hblank or early vsync in RB1/RB2</t>
  </si>
  <si>
    <t>4)</t>
  </si>
  <si>
    <t>5)</t>
  </si>
  <si>
    <t>6)</t>
  </si>
  <si>
    <t>Add fixed horizontal front porch of 8 in RB3</t>
  </si>
  <si>
    <t>7)</t>
  </si>
  <si>
    <t>Add additional hblank and vblank, limit range of additional vblank to 0-245us for Type X descriptor</t>
  </si>
  <si>
    <t>2) Enter Desired Vertical Lines Here (I_V_LINES) =&gt;</t>
  </si>
  <si>
    <t>5) Enter Vertical Scan Frame Rate Here (I_IP_FREQ_RDQ) =&gt;</t>
  </si>
  <si>
    <t>1) Enter Desired Horizontal Pixels Here (I_H_PIXELS) =&gt;</t>
  </si>
  <si>
    <t>3) Enter Vertical Scan Frame Rate Here (I_IP_FREQ_RDQ) =&gt;</t>
  </si>
  <si>
    <t>4) Enter (Y or N) If You Want Reduced Blanking Here   =&gt;</t>
  </si>
  <si>
    <t>6) Apply (1000/1001) factor to Frame Rate for video optimized variant (I_VIDEO_OPT) (Y or N) =&gt;</t>
  </si>
  <si>
    <t>7a) Additional Horizontal Blank Pixels (I_ADDITIONAL_HBLANK) (default blank is 80 pixels, additional horizontal blank pixels between 0 and 120 may be added) =&gt;</t>
  </si>
  <si>
    <t>7b) Apply Early Vertical Sync Location Required (I_EARLY_VSYNC_RQD) (Y or N) =&gt;</t>
  </si>
  <si>
    <t>7c) Additional Vertical Blank Time (I_VBLANK - 460us) =&gt;</t>
  </si>
  <si>
    <t>5) Use Reduced Blank (RB) Timing version  (2, 3)  rules (I_RED_BLANK_VER) =&gt;</t>
  </si>
  <si>
    <t>Pixel clock compensation for standard and reduced blank version 2</t>
  </si>
  <si>
    <t>For reduced blank version 2 &amp; 3. 
Version 3 may add additional pixels in the main form, step 7a) above.</t>
  </si>
  <si>
    <t xml:space="preserve">V_BACK_PORCH = </t>
  </si>
  <si>
    <t>Horizontal Cell Granularity for Standard blanking and Reduced Blanking v3</t>
  </si>
  <si>
    <r>
      <t>Reduced Blanking (CVT-RB ver v2</t>
    </r>
    <r>
      <rPr>
        <sz val="13.5"/>
        <color rgb="FFFF0000"/>
        <rFont val="Arial"/>
        <family val="2"/>
      </rPr>
      <t xml:space="preserve">, </t>
    </r>
    <r>
      <rPr>
        <sz val="13.5"/>
        <rFont val="Arial"/>
        <family val="2"/>
      </rPr>
      <t xml:space="preserve">v3) </t>
    </r>
  </si>
  <si>
    <r>
      <t xml:space="preserve">VALUE = 8 </t>
    </r>
    <r>
      <rPr>
        <b/>
        <sz val="16"/>
        <rFont val="Arial"/>
        <family val="2"/>
      </rPr>
      <t>Required.</t>
    </r>
    <r>
      <rPr>
        <sz val="16"/>
        <rFont val="Arial"/>
        <family val="2"/>
      </rPr>
      <t xml:space="preserve"> DO NOT MODIFY</t>
    </r>
  </si>
  <si>
    <t>FIND VBLANK TIME</t>
  </si>
  <si>
    <t>ACT_V_BLANK_TIME</t>
  </si>
  <si>
    <t>TIMING PARAMETER CALCULATION:</t>
  </si>
  <si>
    <t>FIND VERTICAL BACK PORCH</t>
  </si>
  <si>
    <t>V_BACK_PORCH =</t>
  </si>
  <si>
    <t>FIND VERTICAL FRONT PORCH</t>
  </si>
  <si>
    <t>V_FRONT_PORCH =</t>
  </si>
  <si>
    <t>FIND HORIZONTAL BACK PORCH</t>
  </si>
  <si>
    <t>H_BACK_PORCH =</t>
  </si>
  <si>
    <t>H_FRONT_PORCH</t>
  </si>
  <si>
    <t>RB_H_BLANK</t>
  </si>
  <si>
    <t>RB_H_SYNC</t>
  </si>
  <si>
    <t>RB_MIN_VBLANK</t>
  </si>
  <si>
    <t>V_FIELD_RATE_PPM_ADJ</t>
  </si>
  <si>
    <t>8) Enter desired number of DisplayPort bits per pixel</t>
  </si>
  <si>
    <t>9) Enter desired number of DisplayPort lanes</t>
  </si>
  <si>
    <t>10) Enter desired DisplayPort rate per lane</t>
  </si>
  <si>
    <t>11) Display Stream Compression Target bits per pixel (integer portion)</t>
  </si>
  <si>
    <t>12) Display Stream Compression Target bits per pixel (fractional portion  in 1/16 increment)</t>
  </si>
  <si>
    <t>2)</t>
  </si>
  <si>
    <t>RB_MIN_V_BLANK(us) =</t>
  </si>
  <si>
    <t>Indicate warnings in new warning box</t>
  </si>
  <si>
    <t>Force only CRT or RB1, direct user to 2.0 generator in other cases</t>
  </si>
  <si>
    <t>7) Use Reduced Blank (RB) Timing version  (1)  rules (I_RED_BLANK_VER) =&gt;</t>
  </si>
  <si>
    <t>Applicable only if  answer to question 6 is "N", or question 6 is "Y" and question 7 is RB version 1</t>
  </si>
  <si>
    <t>Add notes about usage of margins and interlaced being restricted to RBv1 or CRT</t>
  </si>
  <si>
    <t>Add warnings when parameter value differs from spec mandates, report warnings in warning box</t>
  </si>
  <si>
    <t>Version 1 of CVT 2.0 Generator</t>
  </si>
  <si>
    <t>December 13, 2021</t>
  </si>
  <si>
    <t>Version 1 of CVT 1.2a Generator</t>
  </si>
  <si>
    <t>Add warning to use cvt2 generator when user selects RBv2 or RBv3</t>
  </si>
  <si>
    <t>Update note on additional vblank requirement and add warnings when outside range</t>
  </si>
  <si>
    <t>Update VIDEO_OPT error check to include RB1 in addition to RB3</t>
  </si>
  <si>
    <t>8)</t>
  </si>
  <si>
    <t>9)</t>
  </si>
  <si>
    <t>10)</t>
  </si>
  <si>
    <t>11)</t>
  </si>
  <si>
    <t>12)</t>
  </si>
  <si>
    <t>13)</t>
  </si>
  <si>
    <t>14)</t>
  </si>
  <si>
    <t>Applicable only if  answer to question 4 is "Y"</t>
  </si>
  <si>
    <t>Applicable only if answer to question 4 is "Y" and question 5 is RB version 2</t>
  </si>
  <si>
    <t>Applicable only if answer to question 4 is "Y" and question 5 is RB version 3</t>
  </si>
  <si>
    <t>CVT v2.0 Generator Version 1</t>
  </si>
  <si>
    <t>CVT v2.0 Generator REVISION HISTORY:</t>
  </si>
  <si>
    <t>CVT v1.2a Generator REVISION HISTORY:</t>
  </si>
  <si>
    <t>CVT v1.2a Generator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</si>
</sst>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_);[Red]\(#,##0.000\)"/>
    <numFmt numFmtId="165" formatCode="0.0"/>
    <numFmt numFmtId="166" formatCode="#,##0.0_);[Red]\(#,##0.0\)"/>
    <numFmt numFmtId="167" formatCode="0.000"/>
    <numFmt numFmtId="168" formatCode="#,##0.0000_);[Red]\(#,##0.0000\)"/>
    <numFmt numFmtId="169" formatCode="0.000000"/>
    <numFmt numFmtId="170" formatCode="#,##0.00;[Red]#,##0.00"/>
  </numFmts>
  <fonts count="54">
    <font>
      <sz val="10"/>
      <name val="Arial"/>
    </font>
    <font>
      <sz val="10"/>
      <name val="Arial"/>
      <family val="2"/>
    </font>
    <font>
      <b/>
      <u/>
      <sz val="14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b/>
      <sz val="24"/>
      <name val="MS Sans Serif"/>
      <family val="2"/>
    </font>
    <font>
      <sz val="14"/>
      <name val="MS Sans Serif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u/>
      <sz val="18"/>
      <name val="MS Sans Serif"/>
      <family val="2"/>
    </font>
    <font>
      <b/>
      <sz val="18"/>
      <name val="MS Sans Serif"/>
      <family val="2"/>
    </font>
    <font>
      <sz val="14"/>
      <name val="Arial"/>
      <family val="2"/>
    </font>
    <font>
      <b/>
      <sz val="14"/>
      <name val="MS Sans Serif"/>
      <family val="2"/>
    </font>
    <font>
      <sz val="13.5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16"/>
      <name val="MS Sans Serif"/>
      <family val="2"/>
    </font>
    <font>
      <sz val="16"/>
      <name val="MS Sans Serif"/>
      <family val="2"/>
    </font>
    <font>
      <sz val="18"/>
      <name val="MS Sans Serif"/>
      <family val="2"/>
    </font>
    <font>
      <b/>
      <u/>
      <sz val="36"/>
      <name val="Arial"/>
      <family val="2"/>
    </font>
    <font>
      <u/>
      <sz val="14"/>
      <color indexed="10"/>
      <name val="Arial"/>
      <family val="2"/>
    </font>
    <font>
      <b/>
      <sz val="26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color indexed="10"/>
      <name val="Arial"/>
      <family val="2"/>
    </font>
    <font>
      <b/>
      <sz val="24"/>
      <color indexed="10"/>
      <name val="Arial"/>
      <family val="2"/>
    </font>
    <font>
      <b/>
      <u/>
      <sz val="10"/>
      <name val="MS Sans Serif"/>
      <family val="2"/>
    </font>
    <font>
      <b/>
      <u/>
      <sz val="10"/>
      <name val="Arial"/>
      <family val="2"/>
    </font>
    <font>
      <b/>
      <sz val="36"/>
      <name val="Arial"/>
      <family val="2"/>
    </font>
    <font>
      <sz val="26"/>
      <name val="Arial"/>
      <family val="2"/>
    </font>
    <font>
      <sz val="12"/>
      <name val="Arial"/>
      <family val="2"/>
    </font>
    <font>
      <sz val="18"/>
      <name val="MS Sans Serif"/>
      <family val="2"/>
    </font>
    <font>
      <b/>
      <sz val="16"/>
      <color theme="1"/>
      <name val="Arial"/>
      <family val="2"/>
    </font>
    <font>
      <b/>
      <sz val="22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theme="0"/>
      <name val="Arial"/>
      <family val="2"/>
    </font>
    <font>
      <b/>
      <u/>
      <sz val="24"/>
      <color indexed="10"/>
      <name val="Arial"/>
      <family val="2"/>
    </font>
    <font>
      <b/>
      <u/>
      <sz val="24"/>
      <name val="Arial"/>
      <family val="2"/>
    </font>
    <font>
      <b/>
      <u/>
      <sz val="18"/>
      <name val="Arial"/>
      <family val="2"/>
    </font>
    <font>
      <sz val="13.5"/>
      <color rgb="FFFF0000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20"/>
      <color rgb="FFFF0000"/>
      <name val="Arial"/>
      <family val="2"/>
    </font>
    <font>
      <sz val="18"/>
      <color rgb="FFFF0000"/>
      <name val="Arial"/>
      <family val="2"/>
    </font>
    <font>
      <b/>
      <sz val="14"/>
      <color theme="1"/>
      <name val="Arial"/>
      <family val="2"/>
    </font>
    <font>
      <sz val="2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3">
    <xf numFmtId="0" fontId="0" fillId="0" borderId="0"/>
    <xf numFmtId="0" fontId="40" fillId="2" borderId="53" applyNumberFormat="0" applyAlignment="0" applyProtection="0"/>
    <xf numFmtId="0" fontId="1" fillId="0" borderId="0"/>
  </cellStyleXfs>
  <cellXfs count="690">
    <xf numFmtId="0" fontId="0" fillId="0" borderId="0" xfId="0"/>
    <xf numFmtId="0" fontId="0" fillId="0" borderId="3" xfId="0" applyBorder="1" applyAlignment="1">
      <alignment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 indent="2"/>
    </xf>
    <xf numFmtId="0" fontId="23" fillId="0" borderId="0" xfId="0" applyFon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0" fontId="33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3" fontId="15" fillId="0" borderId="11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" fontId="36" fillId="0" borderId="0" xfId="0" applyNumberFormat="1" applyFont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3" fillId="0" borderId="9" xfId="0" applyNumberFormat="1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164" fontId="0" fillId="0" borderId="0" xfId="0" applyNumberFormat="1" applyAlignment="1">
      <alignment vertical="center"/>
    </xf>
    <xf numFmtId="1" fontId="26" fillId="0" borderId="25" xfId="0" applyNumberFormat="1" applyFont="1" applyBorder="1" applyAlignment="1">
      <alignment vertical="center" wrapText="1"/>
    </xf>
    <xf numFmtId="1" fontId="26" fillId="0" borderId="0" xfId="0" applyNumberFormat="1" applyFont="1" applyAlignment="1">
      <alignment vertical="center" wrapText="1"/>
    </xf>
    <xf numFmtId="164" fontId="0" fillId="0" borderId="26" xfId="0" applyNumberFormat="1" applyBorder="1" applyAlignment="1">
      <alignment horizontal="center" vertical="center"/>
    </xf>
    <xf numFmtId="1" fontId="0" fillId="0" borderId="25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64" fontId="0" fillId="0" borderId="29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33" fillId="0" borderId="9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2"/>
    </xf>
    <xf numFmtId="1" fontId="1" fillId="0" borderId="25" xfId="0" applyNumberFormat="1" applyFont="1" applyBorder="1" applyAlignment="1">
      <alignment vertical="center"/>
    </xf>
    <xf numFmtId="164" fontId="1" fillId="0" borderId="0" xfId="0" applyNumberFormat="1" applyFont="1" applyAlignment="1">
      <alignment horizontal="left" vertical="center"/>
    </xf>
    <xf numFmtId="1" fontId="4" fillId="0" borderId="25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3" fontId="0" fillId="0" borderId="26" xfId="0" applyNumberFormat="1" applyBorder="1" applyAlignment="1">
      <alignment horizontal="center" vertical="center"/>
    </xf>
    <xf numFmtId="1" fontId="26" fillId="0" borderId="25" xfId="0" applyNumberFormat="1" applyFont="1" applyBorder="1" applyAlignment="1">
      <alignment vertical="center"/>
    </xf>
    <xf numFmtId="164" fontId="26" fillId="0" borderId="0" xfId="0" applyNumberFormat="1" applyFont="1" applyAlignment="1">
      <alignment horizontal="left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13" fillId="0" borderId="11" xfId="0" applyFont="1" applyBorder="1" applyAlignment="1">
      <alignment vertical="center"/>
    </xf>
    <xf numFmtId="164" fontId="18" fillId="0" borderId="1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15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4" xfId="0" applyFont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167" fontId="15" fillId="0" borderId="0" xfId="0" applyNumberFormat="1" applyFont="1" applyAlignment="1">
      <alignment vertical="center"/>
    </xf>
    <xf numFmtId="0" fontId="26" fillId="0" borderId="26" xfId="0" applyFon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167" fontId="26" fillId="0" borderId="2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34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35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Continuous" vertical="center"/>
    </xf>
    <xf numFmtId="0" fontId="15" fillId="0" borderId="4" xfId="0" applyFont="1" applyBorder="1" applyAlignment="1">
      <alignment horizontal="centerContinuous" vertical="center"/>
    </xf>
    <xf numFmtId="165" fontId="0" fillId="0" borderId="26" xfId="0" applyNumberForma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Continuous" vertical="center"/>
    </xf>
    <xf numFmtId="0" fontId="15" fillId="0" borderId="35" xfId="0" applyFont="1" applyBorder="1" applyAlignment="1">
      <alignment horizontal="centerContinuous" vertical="center"/>
    </xf>
    <xf numFmtId="0" fontId="20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4" xfId="0" applyFont="1" applyBorder="1" applyAlignment="1">
      <alignment horizontal="centerContinuous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38" fontId="1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3" xfId="0" applyFont="1" applyBorder="1" applyAlignment="1">
      <alignment vertical="center"/>
    </xf>
    <xf numFmtId="20" fontId="37" fillId="0" borderId="0" xfId="0" quotePrefix="1" applyNumberFormat="1" applyFont="1" applyAlignment="1">
      <alignment vertical="center"/>
    </xf>
    <xf numFmtId="0" fontId="37" fillId="0" borderId="30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7" fillId="0" borderId="5" xfId="0" applyNumberFormat="1" applyFont="1" applyBorder="1" applyAlignment="1">
      <alignment vertical="center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168" fontId="0" fillId="0" borderId="26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9" fillId="0" borderId="0" xfId="0" applyFont="1" applyAlignment="1">
      <alignment horizontal="left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7" fillId="0" borderId="0" xfId="0" applyFont="1" applyBorder="1" applyAlignment="1">
      <alignment vertical="center"/>
    </xf>
    <xf numFmtId="20" fontId="37" fillId="0" borderId="0" xfId="0" applyNumberFormat="1" applyFont="1" applyBorder="1" applyAlignment="1">
      <alignment vertical="center"/>
    </xf>
    <xf numFmtId="0" fontId="41" fillId="2" borderId="53" xfId="1" applyFont="1" applyAlignment="1">
      <alignment horizontal="center" vertical="center" wrapText="1"/>
    </xf>
    <xf numFmtId="0" fontId="41" fillId="2" borderId="53" xfId="1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3" fillId="0" borderId="25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3" fontId="30" fillId="0" borderId="11" xfId="0" applyNumberFormat="1" applyFont="1" applyBorder="1" applyAlignment="1">
      <alignment vertical="center"/>
    </xf>
    <xf numFmtId="3" fontId="28" fillId="0" borderId="0" xfId="0" applyNumberFormat="1" applyFont="1" applyAlignment="1">
      <alignment horizontal="right" vertical="center"/>
    </xf>
    <xf numFmtId="3" fontId="30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3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vertical="center"/>
    </xf>
    <xf numFmtId="3" fontId="28" fillId="0" borderId="0" xfId="0" applyNumberFormat="1" applyFont="1" applyAlignment="1">
      <alignment vertical="center"/>
    </xf>
    <xf numFmtId="3" fontId="15" fillId="0" borderId="0" xfId="0" quotePrefix="1" applyNumberFormat="1" applyFont="1" applyAlignment="1">
      <alignment vertical="center"/>
    </xf>
    <xf numFmtId="3" fontId="15" fillId="0" borderId="0" xfId="0" quotePrefix="1" applyNumberFormat="1" applyFont="1" applyAlignment="1">
      <alignment horizontal="center" vertical="center"/>
    </xf>
    <xf numFmtId="167" fontId="28" fillId="0" borderId="0" xfId="0" applyNumberFormat="1" applyFont="1" applyAlignment="1">
      <alignment horizontal="right" vertical="center"/>
    </xf>
    <xf numFmtId="167" fontId="15" fillId="0" borderId="0" xfId="0" applyNumberFormat="1" applyFont="1" applyAlignment="1">
      <alignment horizontal="left" vertical="center"/>
    </xf>
    <xf numFmtId="164" fontId="28" fillId="0" borderId="6" xfId="0" applyNumberFormat="1" applyFont="1" applyBorder="1" applyAlignment="1">
      <alignment vertical="center"/>
    </xf>
    <xf numFmtId="0" fontId="15" fillId="0" borderId="6" xfId="0" applyFont="1" applyBorder="1" applyAlignment="1">
      <alignment horizontal="left" vertical="center"/>
    </xf>
    <xf numFmtId="3" fontId="15" fillId="0" borderId="6" xfId="0" applyNumberFormat="1" applyFont="1" applyBorder="1" applyAlignment="1">
      <alignment vertical="center"/>
    </xf>
    <xf numFmtId="0" fontId="42" fillId="0" borderId="7" xfId="0" applyFont="1" applyBorder="1" applyAlignment="1">
      <alignment vertical="center"/>
    </xf>
    <xf numFmtId="164" fontId="28" fillId="0" borderId="0" xfId="0" applyNumberFormat="1" applyFont="1" applyAlignment="1">
      <alignment vertical="center"/>
    </xf>
    <xf numFmtId="1" fontId="28" fillId="0" borderId="0" xfId="0" applyNumberFormat="1" applyFont="1" applyAlignment="1">
      <alignment vertical="center"/>
    </xf>
    <xf numFmtId="0" fontId="28" fillId="0" borderId="6" xfId="0" applyFont="1" applyBorder="1" applyAlignment="1">
      <alignment vertical="center"/>
    </xf>
    <xf numFmtId="164" fontId="15" fillId="0" borderId="6" xfId="0" applyNumberFormat="1" applyFont="1" applyBorder="1" applyAlignment="1">
      <alignment horizontal="left" vertical="center"/>
    </xf>
    <xf numFmtId="3" fontId="28" fillId="0" borderId="6" xfId="0" applyNumberFormat="1" applyFont="1" applyBorder="1" applyAlignment="1">
      <alignment horizontal="right" vertical="center"/>
    </xf>
    <xf numFmtId="3" fontId="28" fillId="0" borderId="6" xfId="0" applyNumberFormat="1" applyFont="1" applyBorder="1" applyAlignment="1">
      <alignment vertical="center"/>
    </xf>
    <xf numFmtId="164" fontId="15" fillId="0" borderId="6" xfId="0" applyNumberFormat="1" applyFont="1" applyBorder="1" applyAlignment="1">
      <alignment vertical="center"/>
    </xf>
    <xf numFmtId="1" fontId="28" fillId="0" borderId="6" xfId="0" applyNumberFormat="1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4" fontId="28" fillId="0" borderId="7" xfId="0" applyNumberFormat="1" applyFont="1" applyBorder="1" applyAlignment="1">
      <alignment vertical="center"/>
    </xf>
    <xf numFmtId="164" fontId="15" fillId="0" borderId="7" xfId="0" applyNumberFormat="1" applyFont="1" applyBorder="1" applyAlignment="1">
      <alignment horizontal="left" vertical="center"/>
    </xf>
    <xf numFmtId="3" fontId="28" fillId="0" borderId="7" xfId="0" applyNumberFormat="1" applyFont="1" applyBorder="1" applyAlignment="1">
      <alignment horizontal="right" vertical="center"/>
    </xf>
    <xf numFmtId="3" fontId="28" fillId="0" borderId="7" xfId="0" applyNumberFormat="1" applyFont="1" applyBorder="1" applyAlignment="1">
      <alignment vertical="center"/>
    </xf>
    <xf numFmtId="164" fontId="15" fillId="0" borderId="7" xfId="0" applyNumberFormat="1" applyFont="1" applyBorder="1" applyAlignment="1">
      <alignment vertical="center"/>
    </xf>
    <xf numFmtId="1" fontId="28" fillId="0" borderId="7" xfId="0" applyNumberFormat="1" applyFont="1" applyBorder="1" applyAlignment="1">
      <alignment vertical="center"/>
    </xf>
    <xf numFmtId="3" fontId="28" fillId="0" borderId="6" xfId="0" applyNumberFormat="1" applyFont="1" applyBorder="1" applyAlignment="1">
      <alignment horizontal="center" vertical="center"/>
    </xf>
    <xf numFmtId="164" fontId="28" fillId="0" borderId="0" xfId="0" applyNumberFormat="1" applyFont="1" applyAlignment="1">
      <alignment horizontal="centerContinuous" vertical="center"/>
    </xf>
    <xf numFmtId="164" fontId="15" fillId="0" borderId="0" xfId="0" applyNumberFormat="1" applyFont="1" applyAlignment="1">
      <alignment horizontal="centerContinuous" vertical="center"/>
    </xf>
    <xf numFmtId="1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167" fontId="28" fillId="0" borderId="0" xfId="0" applyNumberFormat="1" applyFont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0" fontId="15" fillId="0" borderId="4" xfId="0" applyFont="1" applyBorder="1" applyAlignment="1">
      <alignment horizontal="left" vertical="center"/>
    </xf>
    <xf numFmtId="167" fontId="28" fillId="0" borderId="6" xfId="0" applyNumberFormat="1" applyFont="1" applyBorder="1" applyAlignment="1">
      <alignment vertical="center"/>
    </xf>
    <xf numFmtId="166" fontId="28" fillId="0" borderId="6" xfId="0" applyNumberFormat="1" applyFont="1" applyBorder="1" applyAlignment="1">
      <alignment horizontal="right" vertical="center"/>
    </xf>
    <xf numFmtId="166" fontId="15" fillId="0" borderId="6" xfId="0" applyNumberFormat="1" applyFont="1" applyBorder="1" applyAlignment="1">
      <alignment vertical="center"/>
    </xf>
    <xf numFmtId="0" fontId="15" fillId="0" borderId="8" xfId="0" applyFont="1" applyBorder="1" applyAlignment="1">
      <alignment horizontal="left" vertical="center"/>
    </xf>
    <xf numFmtId="164" fontId="28" fillId="0" borderId="7" xfId="0" applyNumberFormat="1" applyFont="1" applyBorder="1" applyAlignment="1">
      <alignment horizontal="centerContinuous" vertical="center"/>
    </xf>
    <xf numFmtId="164" fontId="15" fillId="0" borderId="7" xfId="0" applyNumberFormat="1" applyFont="1" applyBorder="1" applyAlignment="1">
      <alignment horizontal="centerContinuous" vertical="center"/>
    </xf>
    <xf numFmtId="1" fontId="28" fillId="0" borderId="7" xfId="0" applyNumberFormat="1" applyFont="1" applyBorder="1" applyAlignment="1">
      <alignment horizontal="centerContinuous" vertical="center"/>
    </xf>
    <xf numFmtId="166" fontId="28" fillId="0" borderId="7" xfId="0" applyNumberFormat="1" applyFont="1" applyBorder="1" applyAlignment="1">
      <alignment horizontal="centerContinuous" vertical="center"/>
    </xf>
    <xf numFmtId="0" fontId="1" fillId="0" borderId="30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164" fontId="25" fillId="0" borderId="5" xfId="0" applyNumberFormat="1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38" fontId="28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43" fillId="0" borderId="3" xfId="0" applyFont="1" applyBorder="1" applyAlignment="1">
      <alignment horizontal="centerContinuous" vertical="center"/>
    </xf>
    <xf numFmtId="0" fontId="44" fillId="0" borderId="3" xfId="0" applyFont="1" applyBorder="1" applyAlignment="1">
      <alignment horizontal="left" vertical="center" indent="3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9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166" fontId="28" fillId="0" borderId="4" xfId="0" applyNumberFormat="1" applyFont="1" applyBorder="1" applyAlignment="1">
      <alignment horizontal="center" vertical="center"/>
    </xf>
    <xf numFmtId="164" fontId="15" fillId="0" borderId="4" xfId="0" applyNumberFormat="1" applyFont="1" applyFill="1" applyBorder="1" applyAlignment="1">
      <alignment horizontal="left" vertical="center"/>
    </xf>
    <xf numFmtId="164" fontId="15" fillId="0" borderId="4" xfId="0" applyNumberFormat="1" applyFont="1" applyFill="1" applyBorder="1" applyAlignment="1">
      <alignment vertical="center"/>
    </xf>
    <xf numFmtId="1" fontId="46" fillId="0" borderId="0" xfId="0" applyNumberFormat="1" applyFont="1" applyFill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8" fillId="0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horizontal="centerContinuous" vertical="center"/>
    </xf>
    <xf numFmtId="167" fontId="28" fillId="0" borderId="0" xfId="0" applyNumberFormat="1" applyFont="1" applyFill="1" applyAlignment="1">
      <alignment horizontal="right" vertical="center"/>
    </xf>
    <xf numFmtId="167" fontId="15" fillId="0" borderId="0" xfId="0" applyNumberFormat="1" applyFont="1" applyFill="1" applyAlignment="1">
      <alignment horizontal="left" vertical="center"/>
    </xf>
    <xf numFmtId="164" fontId="0" fillId="0" borderId="26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" fontId="3" fillId="0" borderId="25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25" xfId="0" applyNumberForma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0" fillId="0" borderId="27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169" fontId="48" fillId="0" borderId="0" xfId="0" applyNumberFormat="1" applyFont="1" applyAlignment="1">
      <alignment vertical="center"/>
    </xf>
    <xf numFmtId="164" fontId="48" fillId="0" borderId="0" xfId="0" applyNumberFormat="1" applyFont="1" applyAlignment="1">
      <alignment vertical="center"/>
    </xf>
    <xf numFmtId="0" fontId="50" fillId="0" borderId="0" xfId="0" applyFont="1" applyAlignment="1">
      <alignment vertical="center"/>
    </xf>
    <xf numFmtId="170" fontId="5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horizontal="left" vertical="center"/>
    </xf>
    <xf numFmtId="0" fontId="26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wrapText="1" indent="2"/>
    </xf>
    <xf numFmtId="0" fontId="15" fillId="0" borderId="0" xfId="0" applyFont="1" applyFill="1" applyAlignment="1">
      <alignment horizontal="left" vertical="center" wrapText="1" indent="2"/>
    </xf>
    <xf numFmtId="164" fontId="15" fillId="0" borderId="0" xfId="0" applyNumberFormat="1" applyFont="1" applyFill="1" applyBorder="1" applyAlignment="1">
      <alignment vertical="center"/>
    </xf>
    <xf numFmtId="1" fontId="28" fillId="0" borderId="36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left" vertical="center"/>
    </xf>
    <xf numFmtId="38" fontId="28" fillId="0" borderId="52" xfId="0" applyNumberFormat="1" applyFont="1" applyBorder="1" applyAlignment="1">
      <alignment horizontal="center" vertical="center"/>
    </xf>
    <xf numFmtId="1" fontId="28" fillId="0" borderId="5" xfId="0" applyNumberFormat="1" applyFont="1" applyFill="1" applyBorder="1" applyAlignment="1">
      <alignment horizontal="center" vertical="center"/>
    </xf>
    <xf numFmtId="1" fontId="28" fillId="0" borderId="11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quotePrefix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" fontId="32" fillId="0" borderId="23" xfId="0" applyNumberFormat="1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4" fontId="0" fillId="0" borderId="24" xfId="0" applyNumberForma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9" fillId="0" borderId="3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" fontId="39" fillId="0" borderId="1" xfId="0" applyNumberFormat="1" applyFont="1" applyBorder="1" applyAlignment="1" applyProtection="1">
      <alignment horizontal="center" vertical="center"/>
      <protection locked="0"/>
    </xf>
    <xf numFmtId="0" fontId="39" fillId="0" borderId="2" xfId="0" applyFont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39" fillId="0" borderId="52" xfId="0" applyFont="1" applyBorder="1" applyAlignment="1" applyProtection="1">
      <alignment horizontal="center" vertical="center"/>
      <protection locked="0"/>
    </xf>
    <xf numFmtId="2" fontId="39" fillId="0" borderId="1" xfId="0" applyNumberFormat="1" applyFont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0" fontId="52" fillId="0" borderId="0" xfId="0" applyFont="1" applyAlignment="1">
      <alignment horizontal="left" vertical="center" wrapText="1"/>
    </xf>
    <xf numFmtId="0" fontId="27" fillId="0" borderId="0" xfId="0" applyFont="1" applyBorder="1" applyAlignment="1">
      <alignment horizontal="left" vertical="center"/>
    </xf>
    <xf numFmtId="0" fontId="41" fillId="0" borderId="0" xfId="1" applyFont="1" applyFill="1" applyBorder="1" applyAlignment="1">
      <alignment horizontal="center" vertical="center"/>
    </xf>
    <xf numFmtId="0" fontId="41" fillId="2" borderId="53" xfId="1" applyFont="1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1" fontId="1" fillId="0" borderId="0" xfId="2" applyNumberFormat="1" applyAlignment="1">
      <alignment vertical="center"/>
    </xf>
    <xf numFmtId="1" fontId="1" fillId="0" borderId="0" xfId="2" applyNumberFormat="1" applyAlignment="1">
      <alignment horizontal="center" vertical="center"/>
    </xf>
    <xf numFmtId="0" fontId="1" fillId="0" borderId="0" xfId="2" applyAlignment="1">
      <alignment horizontal="right" vertical="center"/>
    </xf>
    <xf numFmtId="0" fontId="1" fillId="0" borderId="0" xfId="2" applyAlignment="1">
      <alignment horizontal="left" vertical="center"/>
    </xf>
    <xf numFmtId="164" fontId="1" fillId="0" borderId="0" xfId="2" applyNumberFormat="1" applyAlignment="1">
      <alignment vertical="center"/>
    </xf>
    <xf numFmtId="164" fontId="1" fillId="0" borderId="0" xfId="2" applyNumberFormat="1" applyAlignment="1">
      <alignment horizontal="center" vertical="center"/>
    </xf>
    <xf numFmtId="3" fontId="1" fillId="0" borderId="0" xfId="2" applyNumberFormat="1" applyAlignment="1">
      <alignment vertical="center"/>
    </xf>
    <xf numFmtId="3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right" vertical="center"/>
    </xf>
    <xf numFmtId="1" fontId="1" fillId="0" borderId="0" xfId="2" applyNumberFormat="1" applyAlignment="1">
      <alignment horizontal="right" vertical="center"/>
    </xf>
    <xf numFmtId="164" fontId="1" fillId="0" borderId="0" xfId="2" applyNumberFormat="1" applyAlignment="1">
      <alignment horizontal="left" vertical="center"/>
    </xf>
    <xf numFmtId="0" fontId="11" fillId="0" borderId="0" xfId="2" applyFont="1" applyAlignment="1">
      <alignment vertical="center"/>
    </xf>
    <xf numFmtId="164" fontId="11" fillId="0" borderId="0" xfId="2" applyNumberFormat="1" applyFont="1" applyAlignment="1">
      <alignment vertical="center"/>
    </xf>
    <xf numFmtId="0" fontId="25" fillId="0" borderId="0" xfId="2" applyFont="1" applyAlignment="1">
      <alignment horizontal="left" vertical="center"/>
    </xf>
    <xf numFmtId="0" fontId="14" fillId="0" borderId="31" xfId="2" applyFont="1" applyBorder="1" applyAlignment="1">
      <alignment vertical="center"/>
    </xf>
    <xf numFmtId="0" fontId="14" fillId="0" borderId="5" xfId="2" applyFont="1" applyBorder="1" applyAlignment="1">
      <alignment vertical="center"/>
    </xf>
    <xf numFmtId="0" fontId="18" fillId="0" borderId="5" xfId="2" applyFont="1" applyBorder="1" applyAlignment="1">
      <alignment vertical="center"/>
    </xf>
    <xf numFmtId="20" fontId="18" fillId="0" borderId="5" xfId="2" applyNumberFormat="1" applyFont="1" applyBorder="1" applyAlignment="1">
      <alignment vertical="center"/>
    </xf>
    <xf numFmtId="0" fontId="18" fillId="0" borderId="30" xfId="2" applyFont="1" applyBorder="1" applyAlignment="1">
      <alignment vertical="center"/>
    </xf>
    <xf numFmtId="0" fontId="18" fillId="0" borderId="0" xfId="2" applyFont="1" applyAlignment="1">
      <alignment vertical="center"/>
    </xf>
    <xf numFmtId="1" fontId="11" fillId="0" borderId="0" xfId="2" applyNumberFormat="1" applyFont="1" applyAlignment="1">
      <alignment vertical="center"/>
    </xf>
    <xf numFmtId="0" fontId="11" fillId="0" borderId="4" xfId="2" applyFont="1" applyBorder="1" applyAlignment="1">
      <alignment vertical="center"/>
    </xf>
    <xf numFmtId="0" fontId="14" fillId="0" borderId="0" xfId="2" applyFont="1" applyAlignment="1">
      <alignment vertical="center"/>
    </xf>
    <xf numFmtId="164" fontId="28" fillId="0" borderId="1" xfId="2" applyNumberFormat="1" applyFont="1" applyBorder="1" applyAlignment="1">
      <alignment horizontal="center" vertical="center"/>
    </xf>
    <xf numFmtId="164" fontId="15" fillId="0" borderId="4" xfId="2" applyNumberFormat="1" applyFont="1" applyBorder="1" applyAlignment="1">
      <alignment horizontal="left" vertical="center"/>
    </xf>
    <xf numFmtId="0" fontId="18" fillId="0" borderId="3" xfId="2" applyFont="1" applyBorder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4" fillId="0" borderId="4" xfId="2" applyFont="1" applyBorder="1" applyAlignment="1">
      <alignment vertical="center"/>
    </xf>
    <xf numFmtId="1" fontId="46" fillId="0" borderId="0" xfId="2" applyNumberFormat="1" applyFont="1" applyAlignment="1">
      <alignment horizontal="left" vertical="center"/>
    </xf>
    <xf numFmtId="0" fontId="28" fillId="0" borderId="1" xfId="2" applyFont="1" applyBorder="1" applyAlignment="1">
      <alignment horizontal="center" vertical="center"/>
    </xf>
    <xf numFmtId="164" fontId="15" fillId="0" borderId="4" xfId="2" applyNumberFormat="1" applyFont="1" applyBorder="1" applyAlignment="1">
      <alignment vertical="center"/>
    </xf>
    <xf numFmtId="20" fontId="18" fillId="0" borderId="0" xfId="2" applyNumberFormat="1" applyFont="1" applyAlignment="1">
      <alignment vertical="center"/>
    </xf>
    <xf numFmtId="0" fontId="44" fillId="0" borderId="3" xfId="2" applyFont="1" applyBorder="1" applyAlignment="1">
      <alignment horizontal="left" vertical="center" indent="3"/>
    </xf>
    <xf numFmtId="20" fontId="18" fillId="0" borderId="23" xfId="2" applyNumberFormat="1" applyFont="1" applyBorder="1" applyAlignment="1">
      <alignment vertical="center"/>
    </xf>
    <xf numFmtId="0" fontId="18" fillId="0" borderId="23" xfId="2" applyFont="1" applyBorder="1" applyAlignment="1">
      <alignment vertical="center"/>
    </xf>
    <xf numFmtId="0" fontId="18" fillId="0" borderId="0" xfId="2" applyFont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20" fontId="14" fillId="0" borderId="43" xfId="2" applyNumberFormat="1" applyFont="1" applyBorder="1" applyAlignment="1">
      <alignment vertical="center"/>
    </xf>
    <xf numFmtId="0" fontId="14" fillId="0" borderId="0" xfId="2" applyFont="1" applyAlignment="1">
      <alignment horizontal="center" vertical="center"/>
    </xf>
    <xf numFmtId="0" fontId="18" fillId="0" borderId="0" xfId="2" quotePrefix="1" applyFont="1" applyAlignment="1">
      <alignment vertical="center"/>
    </xf>
    <xf numFmtId="0" fontId="14" fillId="0" borderId="41" xfId="2" applyFont="1" applyBorder="1" applyAlignment="1">
      <alignment horizontal="center" vertical="center"/>
    </xf>
    <xf numFmtId="20" fontId="14" fillId="0" borderId="42" xfId="2" applyNumberFormat="1" applyFont="1" applyBorder="1" applyAlignment="1">
      <alignment vertical="center"/>
    </xf>
    <xf numFmtId="0" fontId="14" fillId="0" borderId="42" xfId="2" quotePrefix="1" applyFont="1" applyBorder="1" applyAlignment="1">
      <alignment vertical="center"/>
    </xf>
    <xf numFmtId="0" fontId="13" fillId="0" borderId="19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20" fontId="18" fillId="0" borderId="0" xfId="2" quotePrefix="1" applyNumberFormat="1" applyFont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1" fontId="18" fillId="0" borderId="0" xfId="2" applyNumberFormat="1" applyFont="1" applyAlignment="1">
      <alignment vertical="center"/>
    </xf>
    <xf numFmtId="0" fontId="18" fillId="0" borderId="0" xfId="2" applyFont="1" applyAlignment="1">
      <alignment horizontal="left" vertical="center"/>
    </xf>
    <xf numFmtId="0" fontId="14" fillId="0" borderId="40" xfId="2" applyFont="1" applyBorder="1" applyAlignment="1">
      <alignment horizontal="center" vertical="center"/>
    </xf>
    <xf numFmtId="0" fontId="14" fillId="0" borderId="32" xfId="2" applyFont="1" applyBorder="1" applyAlignment="1">
      <alignment vertical="center"/>
    </xf>
    <xf numFmtId="0" fontId="22" fillId="0" borderId="39" xfId="2" applyFont="1" applyBorder="1" applyAlignment="1">
      <alignment vertical="center"/>
    </xf>
    <xf numFmtId="0" fontId="22" fillId="0" borderId="38" xfId="2" applyFont="1" applyBorder="1" applyAlignment="1">
      <alignment horizontal="center" vertical="center"/>
    </xf>
    <xf numFmtId="0" fontId="22" fillId="0" borderId="37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20" fontId="14" fillId="0" borderId="45" xfId="2" quotePrefix="1" applyNumberFormat="1" applyFont="1" applyBorder="1" applyAlignment="1">
      <alignment vertical="center"/>
    </xf>
    <xf numFmtId="0" fontId="22" fillId="0" borderId="44" xfId="2" applyFont="1" applyBorder="1" applyAlignment="1">
      <alignment horizontal="center" vertical="center"/>
    </xf>
    <xf numFmtId="0" fontId="44" fillId="0" borderId="0" xfId="2" applyFont="1" applyAlignment="1">
      <alignment vertical="center"/>
    </xf>
    <xf numFmtId="0" fontId="9" fillId="0" borderId="3" xfId="2" applyFont="1" applyBorder="1" applyAlignment="1">
      <alignment horizontal="left" vertical="center" indent="3"/>
    </xf>
    <xf numFmtId="0" fontId="1" fillId="0" borderId="3" xfId="2" applyBorder="1" applyAlignment="1">
      <alignment vertical="center"/>
    </xf>
    <xf numFmtId="3" fontId="28" fillId="0" borderId="0" xfId="2" applyNumberFormat="1" applyFont="1" applyAlignment="1">
      <alignment horizontal="center" vertical="center"/>
    </xf>
    <xf numFmtId="0" fontId="16" fillId="0" borderId="0" xfId="2" applyFont="1" applyAlignment="1">
      <alignment vertical="center"/>
    </xf>
    <xf numFmtId="164" fontId="16" fillId="0" borderId="0" xfId="2" applyNumberFormat="1" applyFont="1" applyAlignment="1">
      <alignment vertical="center"/>
    </xf>
    <xf numFmtId="38" fontId="10" fillId="0" borderId="0" xfId="2" applyNumberFormat="1" applyFont="1" applyAlignment="1">
      <alignment horizontal="center" vertical="center"/>
    </xf>
    <xf numFmtId="0" fontId="11" fillId="0" borderId="3" xfId="2" applyFont="1" applyBorder="1" applyAlignment="1">
      <alignment vertical="center"/>
    </xf>
    <xf numFmtId="38" fontId="28" fillId="0" borderId="1" xfId="2" applyNumberFormat="1" applyFont="1" applyBorder="1" applyAlignment="1">
      <alignment horizontal="center" vertical="center"/>
    </xf>
    <xf numFmtId="0" fontId="29" fillId="0" borderId="0" xfId="2" applyFont="1" applyAlignment="1">
      <alignment vertical="center"/>
    </xf>
    <xf numFmtId="38" fontId="22" fillId="0" borderId="36" xfId="2" applyNumberFormat="1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164" fontId="15" fillId="0" borderId="0" xfId="2" applyNumberFormat="1" applyFont="1" applyAlignment="1">
      <alignment vertical="center"/>
    </xf>
    <xf numFmtId="164" fontId="15" fillId="0" borderId="0" xfId="2" applyNumberFormat="1" applyFont="1" applyAlignment="1">
      <alignment horizontal="center" vertical="center"/>
    </xf>
    <xf numFmtId="3" fontId="16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3" fontId="28" fillId="0" borderId="1" xfId="2" applyNumberFormat="1" applyFont="1" applyBorder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28" fillId="0" borderId="0" xfId="2" applyFont="1" applyAlignment="1">
      <alignment vertical="center"/>
    </xf>
    <xf numFmtId="0" fontId="15" fillId="0" borderId="0" xfId="2" applyFont="1" applyAlignment="1">
      <alignment horizontal="right" vertical="center"/>
    </xf>
    <xf numFmtId="1" fontId="28" fillId="0" borderId="1" xfId="2" applyNumberFormat="1" applyFont="1" applyBorder="1" applyAlignment="1">
      <alignment horizontal="center" vertical="center"/>
    </xf>
    <xf numFmtId="0" fontId="36" fillId="0" borderId="0" xfId="2" applyFont="1" applyAlignment="1">
      <alignment vertical="center"/>
    </xf>
    <xf numFmtId="0" fontId="28" fillId="0" borderId="0" xfId="2" applyFont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" fontId="14" fillId="0" borderId="0" xfId="2" applyNumberFormat="1" applyFont="1" applyAlignment="1">
      <alignment horizontal="center" vertical="center"/>
    </xf>
    <xf numFmtId="1" fontId="28" fillId="0" borderId="0" xfId="2" applyNumberFormat="1" applyFont="1" applyAlignment="1">
      <alignment horizontal="center" vertical="center"/>
    </xf>
    <xf numFmtId="0" fontId="15" fillId="0" borderId="4" xfId="2" applyFont="1" applyBorder="1" applyAlignment="1">
      <alignment vertical="center"/>
    </xf>
    <xf numFmtId="0" fontId="17" fillId="0" borderId="0" xfId="2" applyFont="1" applyAlignment="1">
      <alignment vertical="center"/>
    </xf>
    <xf numFmtId="0" fontId="22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11" fillId="0" borderId="4" xfId="2" applyFont="1" applyBorder="1" applyAlignment="1">
      <alignment horizontal="centerContinuous" vertical="center"/>
    </xf>
    <xf numFmtId="0" fontId="11" fillId="0" borderId="0" xfId="2" applyFont="1" applyAlignment="1">
      <alignment horizontal="centerContinuous" vertical="center"/>
    </xf>
    <xf numFmtId="0" fontId="8" fillId="0" borderId="0" xfId="2" applyFont="1" applyAlignment="1">
      <alignment horizontal="centerContinuous" vertical="center"/>
    </xf>
    <xf numFmtId="0" fontId="43" fillId="0" borderId="3" xfId="2" applyFont="1" applyBorder="1" applyAlignment="1">
      <alignment horizontal="centerContinuous" vertical="center"/>
    </xf>
    <xf numFmtId="0" fontId="11" fillId="0" borderId="12" xfId="2" applyFont="1" applyBorder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2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164" fontId="12" fillId="0" borderId="0" xfId="2" applyNumberFormat="1" applyFont="1" applyAlignment="1">
      <alignment vertical="center"/>
    </xf>
    <xf numFmtId="0" fontId="12" fillId="0" borderId="0" xfId="2" applyFont="1" applyAlignment="1">
      <alignment vertical="center"/>
    </xf>
    <xf numFmtId="0" fontId="11" fillId="0" borderId="31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5" xfId="2" applyFont="1" applyBorder="1" applyAlignment="1">
      <alignment horizontal="center" vertical="center"/>
    </xf>
    <xf numFmtId="0" fontId="11" fillId="0" borderId="5" xfId="2" applyFont="1" applyBorder="1" applyAlignment="1">
      <alignment horizontal="left" vertical="center"/>
    </xf>
    <xf numFmtId="164" fontId="25" fillId="0" borderId="5" xfId="2" applyNumberFormat="1" applyFont="1" applyBorder="1" applyAlignment="1">
      <alignment vertical="center"/>
    </xf>
    <xf numFmtId="0" fontId="20" fillId="0" borderId="5" xfId="2" applyFont="1" applyBorder="1" applyAlignment="1">
      <alignment vertical="center"/>
    </xf>
    <xf numFmtId="0" fontId="25" fillId="0" borderId="5" xfId="2" applyFont="1" applyBorder="1" applyAlignment="1">
      <alignment vertical="center"/>
    </xf>
    <xf numFmtId="0" fontId="1" fillId="0" borderId="30" xfId="2" applyBorder="1" applyAlignment="1">
      <alignment vertical="center"/>
    </xf>
    <xf numFmtId="0" fontId="15" fillId="0" borderId="4" xfId="2" applyFont="1" applyBorder="1" applyAlignment="1">
      <alignment horizontal="left" vertical="center"/>
    </xf>
    <xf numFmtId="166" fontId="28" fillId="0" borderId="0" xfId="2" applyNumberFormat="1" applyFont="1" applyAlignment="1">
      <alignment horizontal="right" vertical="center"/>
    </xf>
    <xf numFmtId="166" fontId="15" fillId="0" borderId="0" xfId="2" applyNumberFormat="1" applyFont="1" applyAlignment="1">
      <alignment vertical="center"/>
    </xf>
    <xf numFmtId="164" fontId="15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vertical="center"/>
    </xf>
    <xf numFmtId="164" fontId="28" fillId="0" borderId="0" xfId="2" applyNumberFormat="1" applyFont="1" applyAlignment="1">
      <alignment vertical="center"/>
    </xf>
    <xf numFmtId="0" fontId="15" fillId="0" borderId="3" xfId="2" applyFont="1" applyBorder="1" applyAlignment="1">
      <alignment vertical="center"/>
    </xf>
    <xf numFmtId="0" fontId="25" fillId="0" borderId="0" xfId="2" applyFont="1" applyAlignment="1">
      <alignment horizontal="center" vertical="center"/>
    </xf>
    <xf numFmtId="0" fontId="48" fillId="0" borderId="0" xfId="2" applyFont="1" applyAlignment="1">
      <alignment vertical="center"/>
    </xf>
    <xf numFmtId="0" fontId="47" fillId="0" borderId="0" xfId="2" applyFont="1" applyAlignment="1">
      <alignment horizontal="center" vertical="center"/>
    </xf>
    <xf numFmtId="0" fontId="15" fillId="0" borderId="35" xfId="2" applyFont="1" applyBorder="1" applyAlignment="1">
      <alignment horizontal="centerContinuous" vertical="center"/>
    </xf>
    <xf numFmtId="166" fontId="28" fillId="0" borderId="7" xfId="2" applyNumberFormat="1" applyFont="1" applyBorder="1" applyAlignment="1">
      <alignment horizontal="centerContinuous" vertical="center"/>
    </xf>
    <xf numFmtId="166" fontId="15" fillId="0" borderId="7" xfId="2" applyNumberFormat="1" applyFont="1" applyBorder="1" applyAlignment="1">
      <alignment horizontal="centerContinuous" vertical="center"/>
    </xf>
    <xf numFmtId="164" fontId="15" fillId="0" borderId="7" xfId="2" applyNumberFormat="1" applyFont="1" applyBorder="1" applyAlignment="1">
      <alignment horizontal="centerContinuous" vertical="center"/>
    </xf>
    <xf numFmtId="1" fontId="28" fillId="0" borderId="7" xfId="2" applyNumberFormat="1" applyFont="1" applyBorder="1" applyAlignment="1">
      <alignment horizontal="centerContinuous" vertical="center"/>
    </xf>
    <xf numFmtId="164" fontId="28" fillId="0" borderId="7" xfId="2" applyNumberFormat="1" applyFont="1" applyBorder="1" applyAlignment="1">
      <alignment horizontal="centerContinuous" vertical="center"/>
    </xf>
    <xf numFmtId="0" fontId="15" fillId="0" borderId="7" xfId="2" applyFont="1" applyBorder="1" applyAlignment="1">
      <alignment vertical="center"/>
    </xf>
    <xf numFmtId="0" fontId="28" fillId="0" borderId="7" xfId="2" applyFont="1" applyBorder="1" applyAlignment="1">
      <alignment vertical="center"/>
    </xf>
    <xf numFmtId="0" fontId="15" fillId="0" borderId="33" xfId="2" applyFont="1" applyBorder="1" applyAlignment="1">
      <alignment vertical="center"/>
    </xf>
    <xf numFmtId="0" fontId="1" fillId="0" borderId="29" xfId="2" applyBorder="1" applyAlignment="1">
      <alignment horizontal="center" vertical="center"/>
    </xf>
    <xf numFmtId="0" fontId="1" fillId="0" borderId="28" xfId="2" applyBorder="1" applyAlignment="1">
      <alignment horizontal="left" vertical="center"/>
    </xf>
    <xf numFmtId="1" fontId="1" fillId="0" borderId="27" xfId="2" applyNumberFormat="1" applyBorder="1" applyAlignment="1">
      <alignment vertical="center"/>
    </xf>
    <xf numFmtId="0" fontId="15" fillId="0" borderId="8" xfId="2" applyFont="1" applyBorder="1" applyAlignment="1">
      <alignment horizontal="left" vertical="center"/>
    </xf>
    <xf numFmtId="166" fontId="28" fillId="0" borderId="6" xfId="2" applyNumberFormat="1" applyFont="1" applyBorder="1" applyAlignment="1">
      <alignment horizontal="right" vertical="center"/>
    </xf>
    <xf numFmtId="166" fontId="15" fillId="0" borderId="6" xfId="2" applyNumberFormat="1" applyFont="1" applyBorder="1" applyAlignment="1">
      <alignment vertical="center"/>
    </xf>
    <xf numFmtId="164" fontId="15" fillId="0" borderId="6" xfId="2" applyNumberFormat="1" applyFont="1" applyBorder="1" applyAlignment="1">
      <alignment horizontal="left" vertical="center"/>
    </xf>
    <xf numFmtId="167" fontId="28" fillId="0" borderId="6" xfId="2" applyNumberFormat="1" applyFont="1" applyBorder="1" applyAlignment="1">
      <alignment vertical="center"/>
    </xf>
    <xf numFmtId="164" fontId="28" fillId="0" borderId="6" xfId="2" applyNumberFormat="1" applyFont="1" applyBorder="1" applyAlignment="1">
      <alignment vertical="center"/>
    </xf>
    <xf numFmtId="0" fontId="15" fillId="0" borderId="6" xfId="2" applyFont="1" applyBorder="1" applyAlignment="1">
      <alignment vertical="center"/>
    </xf>
    <xf numFmtId="0" fontId="28" fillId="0" borderId="6" xfId="2" applyFont="1" applyBorder="1" applyAlignment="1">
      <alignment vertical="center"/>
    </xf>
    <xf numFmtId="0" fontId="15" fillId="0" borderId="34" xfId="2" applyFont="1" applyBorder="1" applyAlignment="1">
      <alignment vertical="center"/>
    </xf>
    <xf numFmtId="1" fontId="1" fillId="0" borderId="26" xfId="2" applyNumberFormat="1" applyBorder="1" applyAlignment="1">
      <alignment horizontal="center" vertical="center"/>
    </xf>
    <xf numFmtId="1" fontId="1" fillId="0" borderId="25" xfId="2" applyNumberFormat="1" applyBorder="1" applyAlignment="1">
      <alignment vertical="center"/>
    </xf>
    <xf numFmtId="0" fontId="15" fillId="0" borderId="4" xfId="2" applyFont="1" applyBorder="1" applyAlignment="1">
      <alignment horizontal="centerContinuous" vertical="center"/>
    </xf>
    <xf numFmtId="0" fontId="28" fillId="0" borderId="0" xfId="2" applyFont="1" applyAlignment="1">
      <alignment horizontal="centerContinuous" vertical="center"/>
    </xf>
    <xf numFmtId="0" fontId="15" fillId="0" borderId="0" xfId="2" applyFont="1" applyAlignment="1">
      <alignment horizontal="centerContinuous" vertical="center"/>
    </xf>
    <xf numFmtId="164" fontId="28" fillId="0" borderId="0" xfId="2" applyNumberFormat="1" applyFont="1" applyAlignment="1">
      <alignment horizontal="centerContinuous" vertical="center"/>
    </xf>
    <xf numFmtId="164" fontId="15" fillId="0" borderId="0" xfId="2" applyNumberFormat="1" applyFont="1" applyAlignment="1">
      <alignment horizontal="centerContinuous" vertical="center"/>
    </xf>
    <xf numFmtId="1" fontId="28" fillId="0" borderId="0" xfId="2" applyNumberFormat="1" applyFont="1" applyAlignment="1">
      <alignment horizontal="centerContinuous" vertical="center"/>
    </xf>
    <xf numFmtId="0" fontId="50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3" fontId="28" fillId="0" borderId="6" xfId="2" applyNumberFormat="1" applyFont="1" applyBorder="1" applyAlignment="1">
      <alignment horizontal="center" vertical="center"/>
    </xf>
    <xf numFmtId="164" fontId="15" fillId="0" borderId="6" xfId="2" applyNumberFormat="1" applyFont="1" applyBorder="1" applyAlignment="1">
      <alignment vertical="center"/>
    </xf>
    <xf numFmtId="3" fontId="28" fillId="0" borderId="6" xfId="2" applyNumberFormat="1" applyFont="1" applyBorder="1" applyAlignment="1">
      <alignment vertical="center"/>
    </xf>
    <xf numFmtId="3" fontId="28" fillId="0" borderId="0" xfId="2" applyNumberFormat="1" applyFont="1" applyAlignment="1">
      <alignment vertical="center"/>
    </xf>
    <xf numFmtId="3" fontId="28" fillId="0" borderId="0" xfId="2" applyNumberFormat="1" applyFont="1" applyAlignment="1">
      <alignment horizontal="right" vertical="center"/>
    </xf>
    <xf numFmtId="170" fontId="50" fillId="0" borderId="0" xfId="2" applyNumberFormat="1" applyFont="1" applyAlignment="1">
      <alignment vertical="center"/>
    </xf>
    <xf numFmtId="165" fontId="1" fillId="0" borderId="26" xfId="2" applyNumberFormat="1" applyBorder="1" applyAlignment="1">
      <alignment horizontal="center" vertical="center"/>
    </xf>
    <xf numFmtId="3" fontId="15" fillId="0" borderId="0" xfId="2" applyNumberFormat="1" applyFont="1" applyAlignment="1">
      <alignment horizontal="center" vertical="center"/>
    </xf>
    <xf numFmtId="1" fontId="28" fillId="0" borderId="0" xfId="2" applyNumberFormat="1" applyFont="1" applyAlignment="1">
      <alignment vertical="center"/>
    </xf>
    <xf numFmtId="164" fontId="48" fillId="0" borderId="0" xfId="2" applyNumberFormat="1" applyFont="1" applyAlignment="1">
      <alignment vertical="center"/>
    </xf>
    <xf numFmtId="0" fontId="15" fillId="0" borderId="35" xfId="2" applyFont="1" applyBorder="1" applyAlignment="1">
      <alignment vertical="center"/>
    </xf>
    <xf numFmtId="1" fontId="28" fillId="0" borderId="7" xfId="2" applyNumberFormat="1" applyFont="1" applyBorder="1" applyAlignment="1">
      <alignment vertical="center"/>
    </xf>
    <xf numFmtId="164" fontId="15" fillId="0" borderId="7" xfId="2" applyNumberFormat="1" applyFont="1" applyBorder="1" applyAlignment="1">
      <alignment vertical="center"/>
    </xf>
    <xf numFmtId="3" fontId="28" fillId="0" borderId="7" xfId="2" applyNumberFormat="1" applyFont="1" applyBorder="1" applyAlignment="1">
      <alignment vertical="center"/>
    </xf>
    <xf numFmtId="3" fontId="28" fillId="0" borderId="7" xfId="2" applyNumberFormat="1" applyFont="1" applyBorder="1" applyAlignment="1">
      <alignment horizontal="right" vertical="center"/>
    </xf>
    <xf numFmtId="164" fontId="15" fillId="0" borderId="7" xfId="2" applyNumberFormat="1" applyFont="1" applyBorder="1" applyAlignment="1">
      <alignment horizontal="left" vertical="center"/>
    </xf>
    <xf numFmtId="164" fontId="28" fillId="0" borderId="7" xfId="2" applyNumberFormat="1" applyFont="1" applyBorder="1" applyAlignment="1">
      <alignment vertical="center"/>
    </xf>
    <xf numFmtId="1" fontId="28" fillId="0" borderId="6" xfId="2" applyNumberFormat="1" applyFont="1" applyBorder="1" applyAlignment="1">
      <alignment vertical="center"/>
    </xf>
    <xf numFmtId="3" fontId="28" fillId="0" borderId="6" xfId="2" applyNumberFormat="1" applyFont="1" applyBorder="1" applyAlignment="1">
      <alignment horizontal="right" vertical="center"/>
    </xf>
    <xf numFmtId="169" fontId="48" fillId="0" borderId="0" xfId="2" applyNumberFormat="1" applyFont="1" applyAlignment="1">
      <alignment vertical="center"/>
    </xf>
    <xf numFmtId="3" fontId="15" fillId="0" borderId="0" xfId="2" applyNumberFormat="1" applyFont="1" applyAlignment="1">
      <alignment vertical="center"/>
    </xf>
    <xf numFmtId="0" fontId="42" fillId="0" borderId="7" xfId="2" applyFont="1" applyBorder="1" applyAlignment="1">
      <alignment vertical="center"/>
    </xf>
    <xf numFmtId="3" fontId="15" fillId="0" borderId="6" xfId="2" applyNumberFormat="1" applyFont="1" applyBorder="1" applyAlignment="1">
      <alignment vertical="center"/>
    </xf>
    <xf numFmtId="0" fontId="15" fillId="0" borderId="6" xfId="2" applyFont="1" applyBorder="1" applyAlignment="1">
      <alignment horizontal="left" vertical="center"/>
    </xf>
    <xf numFmtId="0" fontId="1" fillId="0" borderId="28" xfId="2" applyBorder="1" applyAlignment="1">
      <alignment vertical="center"/>
    </xf>
    <xf numFmtId="167" fontId="15" fillId="0" borderId="0" xfId="2" applyNumberFormat="1" applyFont="1" applyAlignment="1">
      <alignment vertical="center"/>
    </xf>
    <xf numFmtId="3" fontId="30" fillId="0" borderId="0" xfId="2" applyNumberFormat="1" applyFont="1" applyAlignment="1">
      <alignment vertical="center"/>
    </xf>
    <xf numFmtId="167" fontId="15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horizontal="right" vertical="center"/>
    </xf>
    <xf numFmtId="0" fontId="49" fillId="0" borderId="0" xfId="2" applyFont="1" applyAlignment="1">
      <alignment vertical="center"/>
    </xf>
    <xf numFmtId="164" fontId="1" fillId="0" borderId="26" xfId="2" applyNumberFormat="1" applyBorder="1" applyAlignment="1">
      <alignment horizontal="center" vertical="center"/>
    </xf>
    <xf numFmtId="167" fontId="1" fillId="0" borderId="26" xfId="2" applyNumberFormat="1" applyBorder="1" applyAlignment="1">
      <alignment horizontal="center" vertical="center"/>
    </xf>
    <xf numFmtId="0" fontId="1" fillId="0" borderId="26" xfId="2" applyBorder="1" applyAlignment="1">
      <alignment horizontal="center" vertical="center"/>
    </xf>
    <xf numFmtId="0" fontId="15" fillId="0" borderId="0" xfId="2" quotePrefix="1" applyFont="1" applyAlignment="1">
      <alignment vertical="center"/>
    </xf>
    <xf numFmtId="3" fontId="15" fillId="0" borderId="0" xfId="2" quotePrefix="1" applyNumberFormat="1" applyFont="1" applyAlignment="1">
      <alignment horizontal="center" vertical="center"/>
    </xf>
    <xf numFmtId="3" fontId="15" fillId="0" borderId="0" xfId="2" quotePrefix="1" applyNumberFormat="1" applyFont="1" applyAlignment="1">
      <alignment vertical="center"/>
    </xf>
    <xf numFmtId="164" fontId="28" fillId="0" borderId="0" xfId="2" applyNumberFormat="1" applyFont="1" applyAlignment="1">
      <alignment horizontal="right" vertical="center"/>
    </xf>
    <xf numFmtId="0" fontId="28" fillId="0" borderId="0" xfId="2" applyFont="1" applyAlignment="1">
      <alignment horizontal="right" vertical="center"/>
    </xf>
    <xf numFmtId="0" fontId="15" fillId="0" borderId="12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  <xf numFmtId="3" fontId="15" fillId="0" borderId="11" xfId="2" applyNumberFormat="1" applyFont="1" applyBorder="1" applyAlignment="1">
      <alignment horizontal="center" vertical="center" wrapText="1"/>
    </xf>
    <xf numFmtId="3" fontId="30" fillId="0" borderId="11" xfId="2" applyNumberFormat="1" applyFont="1" applyBorder="1" applyAlignment="1">
      <alignment vertical="center"/>
    </xf>
    <xf numFmtId="0" fontId="15" fillId="0" borderId="10" xfId="2" applyFont="1" applyBorder="1" applyAlignment="1">
      <alignment horizontal="center" vertical="center" wrapText="1"/>
    </xf>
    <xf numFmtId="1" fontId="1" fillId="0" borderId="25" xfId="2" applyNumberFormat="1" applyBorder="1" applyAlignment="1">
      <alignment horizontal="right" vertical="center"/>
    </xf>
    <xf numFmtId="0" fontId="1" fillId="0" borderId="24" xfId="2" applyBorder="1" applyAlignment="1">
      <alignment horizontal="center" vertical="center"/>
    </xf>
    <xf numFmtId="0" fontId="1" fillId="0" borderId="23" xfId="2" applyBorder="1" applyAlignment="1">
      <alignment horizontal="left" vertical="center"/>
    </xf>
    <xf numFmtId="1" fontId="7" fillId="0" borderId="9" xfId="2" applyNumberFormat="1" applyFont="1" applyBorder="1" applyAlignment="1">
      <alignment vertical="center"/>
    </xf>
    <xf numFmtId="165" fontId="1" fillId="0" borderId="32" xfId="2" applyNumberFormat="1" applyBorder="1" applyAlignment="1">
      <alignment horizontal="center" vertical="center"/>
    </xf>
    <xf numFmtId="164" fontId="1" fillId="0" borderId="32" xfId="2" applyNumberFormat="1" applyBorder="1" applyAlignment="1">
      <alignment horizontal="left" vertical="center"/>
    </xf>
    <xf numFmtId="1" fontId="1" fillId="0" borderId="32" xfId="2" applyNumberFormat="1" applyBorder="1" applyAlignment="1">
      <alignment vertical="center"/>
    </xf>
    <xf numFmtId="3" fontId="1" fillId="0" borderId="26" xfId="2" applyNumberFormat="1" applyBorder="1" applyAlignment="1">
      <alignment horizontal="center" vertical="center"/>
    </xf>
    <xf numFmtId="165" fontId="1" fillId="0" borderId="29" xfId="2" applyNumberFormat="1" applyBorder="1" applyAlignment="1">
      <alignment horizontal="center" vertical="center"/>
    </xf>
    <xf numFmtId="164" fontId="1" fillId="0" borderId="28" xfId="2" applyNumberFormat="1" applyBorder="1" applyAlignment="1">
      <alignment horizontal="left" vertical="center"/>
    </xf>
    <xf numFmtId="164" fontId="18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168" fontId="1" fillId="0" borderId="26" xfId="2" applyNumberFormat="1" applyBorder="1" applyAlignment="1">
      <alignment horizontal="center" vertical="center"/>
    </xf>
    <xf numFmtId="0" fontId="1" fillId="0" borderId="11" xfId="2" applyBorder="1" applyAlignment="1">
      <alignment vertical="center"/>
    </xf>
    <xf numFmtId="164" fontId="18" fillId="0" borderId="11" xfId="2" applyNumberFormat="1" applyFont="1" applyBorder="1" applyAlignment="1">
      <alignment vertical="center"/>
    </xf>
    <xf numFmtId="0" fontId="5" fillId="0" borderId="11" xfId="2" applyFont="1" applyBorder="1" applyAlignment="1">
      <alignment horizontal="center" vertical="center"/>
    </xf>
    <xf numFmtId="0" fontId="13" fillId="0" borderId="11" xfId="2" applyFont="1" applyBorder="1" applyAlignment="1">
      <alignment vertical="center"/>
    </xf>
    <xf numFmtId="0" fontId="9" fillId="0" borderId="11" xfId="2" applyFont="1" applyBorder="1" applyAlignment="1">
      <alignment vertical="center"/>
    </xf>
    <xf numFmtId="0" fontId="1" fillId="0" borderId="31" xfId="2" applyBorder="1" applyAlignment="1">
      <alignment vertical="center"/>
    </xf>
    <xf numFmtId="0" fontId="28" fillId="0" borderId="4" xfId="2" applyFont="1" applyBorder="1" applyAlignment="1">
      <alignment horizontal="center" vertical="center"/>
    </xf>
    <xf numFmtId="0" fontId="39" fillId="0" borderId="0" xfId="2" applyFont="1" applyAlignment="1">
      <alignment horizontal="left" vertical="center" wrapText="1"/>
    </xf>
    <xf numFmtId="164" fontId="4" fillId="0" borderId="0" xfId="2" applyNumberFormat="1" applyFont="1" applyAlignment="1">
      <alignment horizontal="left" vertical="center"/>
    </xf>
    <xf numFmtId="1" fontId="4" fillId="0" borderId="25" xfId="2" applyNumberFormat="1" applyFont="1" applyBorder="1" applyAlignment="1">
      <alignment vertical="center"/>
    </xf>
    <xf numFmtId="0" fontId="39" fillId="0" borderId="1" xfId="2" applyFont="1" applyBorder="1" applyAlignment="1">
      <alignment horizontal="center" vertical="center" wrapText="1"/>
    </xf>
    <xf numFmtId="0" fontId="1" fillId="0" borderId="0" xfId="2" applyAlignment="1">
      <alignment horizontal="left" vertical="center" wrapText="1"/>
    </xf>
    <xf numFmtId="0" fontId="23" fillId="0" borderId="0" xfId="2" applyFont="1" applyAlignment="1">
      <alignment horizontal="left" vertical="center"/>
    </xf>
    <xf numFmtId="2" fontId="1" fillId="0" borderId="26" xfId="2" applyNumberFormat="1" applyBorder="1" applyAlignment="1">
      <alignment horizontal="center" vertical="center"/>
    </xf>
    <xf numFmtId="0" fontId="39" fillId="0" borderId="52" xfId="2" applyFont="1" applyBorder="1" applyAlignment="1">
      <alignment horizontal="center" vertical="center" wrapText="1"/>
    </xf>
    <xf numFmtId="0" fontId="1" fillId="0" borderId="26" xfId="2" applyBorder="1" applyAlignment="1">
      <alignment vertical="center"/>
    </xf>
    <xf numFmtId="0" fontId="7" fillId="0" borderId="25" xfId="2" applyFont="1" applyBorder="1" applyAlignment="1">
      <alignment horizontal="left" vertical="center"/>
    </xf>
    <xf numFmtId="0" fontId="1" fillId="0" borderId="24" xfId="2" applyBorder="1" applyAlignment="1">
      <alignment vertical="center"/>
    </xf>
    <xf numFmtId="0" fontId="1" fillId="0" borderId="23" xfId="2" applyBorder="1" applyAlignment="1">
      <alignment vertical="center"/>
    </xf>
    <xf numFmtId="0" fontId="7" fillId="0" borderId="9" xfId="2" applyFont="1" applyBorder="1" applyAlignment="1">
      <alignment horizontal="left" vertical="center"/>
    </xf>
    <xf numFmtId="166" fontId="28" fillId="0" borderId="4" xfId="2" applyNumberFormat="1" applyFont="1" applyBorder="1" applyAlignment="1">
      <alignment horizontal="center" vertical="center"/>
    </xf>
    <xf numFmtId="164" fontId="1" fillId="0" borderId="29" xfId="2" applyNumberFormat="1" applyBorder="1" applyAlignment="1">
      <alignment horizontal="center" vertical="center"/>
    </xf>
    <xf numFmtId="1" fontId="1" fillId="0" borderId="27" xfId="2" applyNumberFormat="1" applyBorder="1" applyAlignment="1">
      <alignment horizontal="center" vertical="center"/>
    </xf>
    <xf numFmtId="164" fontId="4" fillId="0" borderId="0" xfId="2" applyNumberFormat="1" applyFont="1" applyAlignment="1">
      <alignment vertical="center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1" fillId="0" borderId="0" xfId="2" applyAlignment="1">
      <alignment horizontal="left" vertical="center" indent="2"/>
    </xf>
    <xf numFmtId="0" fontId="11" fillId="0" borderId="0" xfId="2" applyFont="1" applyAlignment="1">
      <alignment horizontal="left" vertical="center" wrapText="1" indent="2"/>
    </xf>
    <xf numFmtId="0" fontId="23" fillId="0" borderId="0" xfId="2" applyFont="1" applyAlignment="1">
      <alignment vertical="center"/>
    </xf>
    <xf numFmtId="0" fontId="1" fillId="0" borderId="25" xfId="2" applyBorder="1" applyAlignment="1">
      <alignment horizontal="center" vertical="center"/>
    </xf>
    <xf numFmtId="0" fontId="23" fillId="0" borderId="1" xfId="2" applyFont="1" applyBorder="1" applyAlignment="1" applyProtection="1">
      <alignment horizontal="center" vertical="center"/>
      <protection locked="0"/>
    </xf>
    <xf numFmtId="0" fontId="1" fillId="0" borderId="0" xfId="2" applyAlignment="1">
      <alignment vertical="center" wrapText="1"/>
    </xf>
    <xf numFmtId="1" fontId="7" fillId="0" borderId="25" xfId="2" applyNumberFormat="1" applyFont="1" applyBorder="1" applyAlignment="1">
      <alignment vertical="center"/>
    </xf>
    <xf numFmtId="1" fontId="3" fillId="0" borderId="9" xfId="2" applyNumberFormat="1" applyFont="1" applyBorder="1" applyAlignment="1">
      <alignment vertical="center"/>
    </xf>
    <xf numFmtId="0" fontId="23" fillId="0" borderId="3" xfId="2" applyFont="1" applyBorder="1" applyAlignment="1">
      <alignment horizontal="left" vertical="center" wrapText="1"/>
    </xf>
    <xf numFmtId="0" fontId="23" fillId="0" borderId="2" xfId="2" applyFont="1" applyBorder="1" applyAlignment="1" applyProtection="1">
      <alignment horizontal="center" vertical="center"/>
      <protection locked="0"/>
    </xf>
    <xf numFmtId="1" fontId="1" fillId="0" borderId="25" xfId="2" applyNumberFormat="1" applyBorder="1" applyAlignment="1">
      <alignment vertical="center" wrapText="1"/>
    </xf>
    <xf numFmtId="1" fontId="1" fillId="0" borderId="0" xfId="2" applyNumberFormat="1" applyAlignment="1">
      <alignment vertical="center" wrapText="1"/>
    </xf>
    <xf numFmtId="1" fontId="21" fillId="0" borderId="1" xfId="2" applyNumberFormat="1" applyFont="1" applyBorder="1" applyAlignment="1" applyProtection="1">
      <alignment horizontal="center" vertical="center"/>
      <protection locked="0"/>
    </xf>
    <xf numFmtId="1" fontId="3" fillId="0" borderId="25" xfId="2" applyNumberFormat="1" applyFont="1" applyBorder="1" applyAlignment="1">
      <alignment vertical="center"/>
    </xf>
    <xf numFmtId="0" fontId="1" fillId="0" borderId="4" xfId="2" applyBorder="1" applyAlignment="1">
      <alignment vertical="center"/>
    </xf>
    <xf numFmtId="0" fontId="1" fillId="0" borderId="12" xfId="2" applyBorder="1" applyAlignment="1">
      <alignment vertical="center"/>
    </xf>
    <xf numFmtId="0" fontId="1" fillId="0" borderId="11" xfId="2" applyBorder="1" applyAlignment="1">
      <alignment horizontal="center" vertical="center"/>
    </xf>
    <xf numFmtId="0" fontId="1" fillId="0" borderId="10" xfId="2" applyBorder="1" applyAlignment="1">
      <alignment vertical="center"/>
    </xf>
    <xf numFmtId="0" fontId="7" fillId="0" borderId="0" xfId="2" applyFont="1" applyAlignment="1">
      <alignment vertical="center"/>
    </xf>
    <xf numFmtId="0" fontId="1" fillId="0" borderId="5" xfId="2" applyBorder="1" applyAlignment="1">
      <alignment horizontal="left" vertical="center"/>
    </xf>
    <xf numFmtId="0" fontId="25" fillId="0" borderId="5" xfId="2" applyFont="1" applyBorder="1" applyAlignment="1">
      <alignment horizontal="left" vertical="center"/>
    </xf>
    <xf numFmtId="1" fontId="36" fillId="0" borderId="0" xfId="2" applyNumberFormat="1" applyFont="1" applyAlignment="1">
      <alignment horizontal="center" vertical="center"/>
    </xf>
    <xf numFmtId="1" fontId="36" fillId="0" borderId="0" xfId="2" applyNumberFormat="1" applyFont="1" applyAlignment="1">
      <alignment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horizontal="left" vertical="center"/>
    </xf>
    <xf numFmtId="0" fontId="1" fillId="0" borderId="0" xfId="2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34" fillId="0" borderId="0" xfId="2" applyFont="1" applyAlignment="1">
      <alignment horizontal="centerContinuous" vertical="center"/>
    </xf>
    <xf numFmtId="0" fontId="1" fillId="0" borderId="0" xfId="2" applyAlignment="1">
      <alignment vertical="center"/>
    </xf>
    <xf numFmtId="0" fontId="1" fillId="0" borderId="26" xfId="2" applyBorder="1" applyAlignment="1">
      <alignment vertical="center"/>
    </xf>
    <xf numFmtId="0" fontId="1" fillId="0" borderId="28" xfId="2" applyBorder="1" applyAlignment="1">
      <alignment vertical="center"/>
    </xf>
    <xf numFmtId="0" fontId="53" fillId="0" borderId="0" xfId="0" applyFont="1" applyAlignment="1">
      <alignment vertical="center"/>
    </xf>
    <xf numFmtId="15" fontId="36" fillId="0" borderId="0" xfId="0" quotePrefix="1" applyNumberFormat="1" applyFont="1" applyAlignment="1">
      <alignment horizontal="left" vertical="center"/>
    </xf>
    <xf numFmtId="0" fontId="36" fillId="0" borderId="0" xfId="0" applyFont="1" applyAlignment="1">
      <alignment horizontal="right" vertical="center"/>
    </xf>
    <xf numFmtId="1" fontId="46" fillId="0" borderId="3" xfId="0" applyNumberFormat="1" applyFont="1" applyFill="1" applyBorder="1" applyAlignment="1">
      <alignment vertical="center"/>
    </xf>
    <xf numFmtId="1" fontId="46" fillId="0" borderId="4" xfId="0" applyNumberFormat="1" applyFont="1" applyFill="1" applyBorder="1" applyAlignment="1">
      <alignment vertical="center"/>
    </xf>
    <xf numFmtId="0" fontId="25" fillId="0" borderId="4" xfId="0" applyFont="1" applyFill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" fontId="46" fillId="0" borderId="3" xfId="2" applyNumberFormat="1" applyFont="1" applyBorder="1" applyAlignment="1">
      <alignment vertical="center"/>
    </xf>
    <xf numFmtId="1" fontId="46" fillId="0" borderId="4" xfId="2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30" fillId="0" borderId="3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15" fontId="23" fillId="0" borderId="0" xfId="0" quotePrefix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1" fillId="0" borderId="3" xfId="0" applyFont="1" applyBorder="1" applyAlignment="1">
      <alignment horizontal="left" vertical="center" wrapText="1"/>
    </xf>
    <xf numFmtId="0" fontId="51" fillId="0" borderId="4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23" fillId="0" borderId="49" xfId="0" applyFont="1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0" fontId="23" fillId="0" borderId="4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47" xfId="0" applyFont="1" applyFill="1" applyBorder="1" applyAlignment="1">
      <alignment horizontal="center" vertical="center" wrapText="1"/>
    </xf>
    <xf numFmtId="0" fontId="23" fillId="0" borderId="48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23" fillId="0" borderId="51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164" fontId="15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3" fontId="30" fillId="0" borderId="0" xfId="0" applyNumberFormat="1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 wrapText="1" indent="2"/>
    </xf>
    <xf numFmtId="164" fontId="15" fillId="0" borderId="0" xfId="0" applyNumberFormat="1" applyFont="1" applyFill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wrapText="1" indent="2"/>
    </xf>
    <xf numFmtId="0" fontId="15" fillId="0" borderId="0" xfId="0" applyFont="1" applyFill="1" applyAlignment="1">
      <alignment horizontal="left" vertical="center" indent="2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64" fontId="15" fillId="0" borderId="0" xfId="0" applyNumberFormat="1" applyFont="1" applyFill="1" applyAlignment="1">
      <alignment horizontal="left" vertical="center" indent="2"/>
    </xf>
    <xf numFmtId="15" fontId="23" fillId="0" borderId="0" xfId="2" quotePrefix="1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3" fillId="0" borderId="0" xfId="2" applyFont="1" applyAlignment="1">
      <alignment horizontal="left" vertical="center"/>
    </xf>
    <xf numFmtId="0" fontId="23" fillId="0" borderId="4" xfId="2" applyFont="1" applyBorder="1" applyAlignment="1">
      <alignment horizontal="left" vertical="center"/>
    </xf>
    <xf numFmtId="0" fontId="30" fillId="0" borderId="3" xfId="2" applyFont="1" applyBorder="1" applyAlignment="1">
      <alignment horizontal="center" vertical="center" wrapText="1"/>
    </xf>
    <xf numFmtId="0" fontId="30" fillId="0" borderId="4" xfId="2" applyFont="1" applyBorder="1" applyAlignment="1">
      <alignment horizontal="center" vertical="center"/>
    </xf>
    <xf numFmtId="0" fontId="38" fillId="0" borderId="3" xfId="2" applyFont="1" applyBorder="1" applyAlignment="1">
      <alignment horizontal="left" vertical="center" wrapText="1"/>
    </xf>
    <xf numFmtId="0" fontId="38" fillId="0" borderId="4" xfId="2" applyFont="1" applyBorder="1" applyAlignment="1">
      <alignment horizontal="left" vertical="center" wrapText="1"/>
    </xf>
    <xf numFmtId="0" fontId="23" fillId="0" borderId="54" xfId="2" applyFont="1" applyBorder="1" applyAlignment="1">
      <alignment horizontal="left" vertical="center"/>
    </xf>
    <xf numFmtId="0" fontId="23" fillId="0" borderId="49" xfId="2" applyFont="1" applyBorder="1" applyAlignment="1">
      <alignment horizontal="right" vertical="center"/>
    </xf>
    <xf numFmtId="0" fontId="1" fillId="0" borderId="49" xfId="2" applyBorder="1" applyAlignment="1">
      <alignment horizontal="right" vertical="center"/>
    </xf>
    <xf numFmtId="0" fontId="31" fillId="0" borderId="46" xfId="2" applyFont="1" applyBorder="1" applyAlignment="1">
      <alignment horizontal="center" vertical="center" wrapText="1"/>
    </xf>
    <xf numFmtId="0" fontId="31" fillId="0" borderId="7" xfId="2" applyFont="1" applyBorder="1" applyAlignment="1">
      <alignment horizontal="center" vertical="center" wrapText="1"/>
    </xf>
    <xf numFmtId="0" fontId="31" fillId="0" borderId="48" xfId="2" applyFont="1" applyBorder="1" applyAlignment="1">
      <alignment horizontal="center" vertical="center" wrapText="1"/>
    </xf>
    <xf numFmtId="0" fontId="31" fillId="0" borderId="0" xfId="2" applyFont="1" applyBorder="1" applyAlignment="1">
      <alignment horizontal="center" vertical="center" wrapText="1"/>
    </xf>
    <xf numFmtId="0" fontId="31" fillId="0" borderId="50" xfId="2" applyFont="1" applyBorder="1" applyAlignment="1">
      <alignment horizontal="center" vertical="center" wrapText="1"/>
    </xf>
    <xf numFmtId="0" fontId="31" fillId="0" borderId="6" xfId="2" applyFont="1" applyBorder="1" applyAlignment="1">
      <alignment horizontal="center" vertical="center" wrapText="1"/>
    </xf>
    <xf numFmtId="0" fontId="23" fillId="0" borderId="46" xfId="2" applyFont="1" applyBorder="1" applyAlignment="1">
      <alignment horizontal="center" vertical="center" wrapText="1"/>
    </xf>
    <xf numFmtId="0" fontId="23" fillId="0" borderId="7" xfId="2" applyFont="1" applyBorder="1" applyAlignment="1">
      <alignment horizontal="center" vertical="center" wrapText="1"/>
    </xf>
    <xf numFmtId="0" fontId="23" fillId="0" borderId="47" xfId="2" applyFont="1" applyBorder="1" applyAlignment="1">
      <alignment horizontal="center" vertical="center" wrapText="1"/>
    </xf>
    <xf numFmtId="0" fontId="23" fillId="0" borderId="48" xfId="2" applyFont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 wrapText="1"/>
    </xf>
    <xf numFmtId="0" fontId="23" fillId="0" borderId="49" xfId="2" applyFont="1" applyBorder="1" applyAlignment="1">
      <alignment horizontal="center" vertical="center" wrapText="1"/>
    </xf>
    <xf numFmtId="0" fontId="23" fillId="0" borderId="50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23" fillId="0" borderId="51" xfId="2" applyFont="1" applyBorder="1" applyAlignment="1">
      <alignment horizontal="center" vertical="center" wrapText="1"/>
    </xf>
    <xf numFmtId="0" fontId="1" fillId="0" borderId="25" xfId="2" applyBorder="1" applyAlignment="1">
      <alignment vertical="center" wrapText="1"/>
    </xf>
    <xf numFmtId="0" fontId="1" fillId="0" borderId="0" xfId="2" applyAlignment="1">
      <alignment vertical="center"/>
    </xf>
    <xf numFmtId="0" fontId="1" fillId="0" borderId="26" xfId="2" applyBorder="1" applyAlignment="1">
      <alignment vertical="center"/>
    </xf>
    <xf numFmtId="0" fontId="1" fillId="0" borderId="25" xfId="2" applyBorder="1" applyAlignment="1">
      <alignment vertical="center"/>
    </xf>
    <xf numFmtId="0" fontId="1" fillId="0" borderId="27" xfId="2" applyBorder="1" applyAlignment="1">
      <alignment vertical="center"/>
    </xf>
    <xf numFmtId="0" fontId="1" fillId="0" borderId="28" xfId="2" applyBorder="1" applyAlignment="1">
      <alignment vertical="center"/>
    </xf>
    <xf numFmtId="0" fontId="1" fillId="0" borderId="29" xfId="2" applyBorder="1" applyAlignment="1">
      <alignment vertical="center"/>
    </xf>
    <xf numFmtId="0" fontId="25" fillId="0" borderId="0" xfId="2" applyFont="1" applyAlignment="1">
      <alignment horizontal="left" vertical="center" wrapText="1"/>
    </xf>
    <xf numFmtId="0" fontId="29" fillId="0" borderId="0" xfId="2" applyFont="1" applyAlignment="1">
      <alignment horizontal="left" vertical="center"/>
    </xf>
    <xf numFmtId="0" fontId="29" fillId="0" borderId="4" xfId="2" applyFont="1" applyBorder="1" applyAlignment="1">
      <alignment horizontal="left" vertical="center"/>
    </xf>
    <xf numFmtId="0" fontId="28" fillId="0" borderId="0" xfId="2" applyFont="1" applyAlignment="1">
      <alignment horizontal="left" vertical="center"/>
    </xf>
    <xf numFmtId="164" fontId="15" fillId="0" borderId="0" xfId="2" applyNumberFormat="1" applyFont="1" applyAlignment="1">
      <alignment horizontal="left" vertical="center" indent="2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 indent="2"/>
    </xf>
    <xf numFmtId="164" fontId="15" fillId="0" borderId="0" xfId="2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 wrapText="1"/>
    </xf>
    <xf numFmtId="0" fontId="13" fillId="0" borderId="20" xfId="2" applyFont="1" applyBorder="1" applyAlignment="1">
      <alignment horizontal="left" vertical="center"/>
    </xf>
    <xf numFmtId="0" fontId="13" fillId="0" borderId="21" xfId="2" applyFont="1" applyBorder="1" applyAlignment="1">
      <alignment horizontal="left" vertical="center"/>
    </xf>
    <xf numFmtId="0" fontId="13" fillId="0" borderId="22" xfId="2" applyFont="1" applyBorder="1" applyAlignment="1">
      <alignment horizontal="left" vertical="center"/>
    </xf>
    <xf numFmtId="0" fontId="13" fillId="0" borderId="15" xfId="2" applyFont="1" applyBorder="1" applyAlignment="1">
      <alignment horizontal="left" vertical="center"/>
    </xf>
    <xf numFmtId="0" fontId="13" fillId="0" borderId="16" xfId="2" applyFont="1" applyBorder="1" applyAlignment="1">
      <alignment horizontal="left" vertical="center"/>
    </xf>
    <xf numFmtId="0" fontId="13" fillId="0" borderId="17" xfId="2" applyFont="1" applyBorder="1" applyAlignment="1">
      <alignment horizontal="left" vertical="center"/>
    </xf>
    <xf numFmtId="164" fontId="15" fillId="0" borderId="0" xfId="2" applyNumberFormat="1" applyFont="1" applyAlignment="1">
      <alignment horizontal="left" vertical="center" wrapText="1" indent="2"/>
    </xf>
    <xf numFmtId="0" fontId="15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35" fillId="0" borderId="0" xfId="2" applyFont="1" applyAlignment="1">
      <alignment vertical="center"/>
    </xf>
    <xf numFmtId="3" fontId="30" fillId="0" borderId="0" xfId="2" applyNumberFormat="1" applyFont="1" applyAlignment="1">
      <alignment vertical="center"/>
    </xf>
    <xf numFmtId="0" fontId="34" fillId="0" borderId="0" xfId="2" applyFont="1" applyAlignment="1">
      <alignment vertical="center"/>
    </xf>
  </cellXfs>
  <cellStyles count="3">
    <cellStyle name="Check Cell" xfId="1" builtinId="23"/>
    <cellStyle name="Normal" xfId="0" builtinId="0"/>
    <cellStyle name="Normal 2" xfId="2" xr:uid="{FB2673DA-C80E-4EBE-A02E-688279894171}"/>
  </cellStyles>
  <dxfs count="8">
    <dxf>
      <font>
        <strike val="0"/>
        <color rgb="FF006100"/>
      </font>
      <fill>
        <patternFill>
          <bgColor rgb="FFC6EF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strike val="0"/>
        <color rgb="FF006100"/>
      </font>
      <fill>
        <patternFill>
          <bgColor rgb="FFC6EFCE"/>
        </patternFill>
      </fill>
    </dxf>
    <dxf>
      <font>
        <b/>
        <i val="0"/>
        <strike val="0"/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6100"/>
      <color rgb="FFC6EFC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E108-7FEC-4EDD-979B-8544ED535DD6}">
  <sheetPr>
    <pageSetUpPr fitToPage="1"/>
  </sheetPr>
  <dimension ref="A1:BF409"/>
  <sheetViews>
    <sheetView tabSelected="1" zoomScale="88" zoomScaleNormal="88" zoomScalePageLayoutView="70" workbookViewId="0">
      <selection activeCell="K32" sqref="K32"/>
    </sheetView>
  </sheetViews>
  <sheetFormatPr baseColWidth="10" defaultColWidth="8.83203125" defaultRowHeight="13"/>
  <cols>
    <col min="1" max="1" width="4.5" style="259" customWidth="1"/>
    <col min="2" max="2" width="21.5" style="259" customWidth="1"/>
    <col min="3" max="3" width="25.5" style="259" customWidth="1"/>
    <col min="4" max="4" width="31.5" style="259" customWidth="1"/>
    <col min="5" max="5" width="12.5" style="259" customWidth="1"/>
    <col min="6" max="6" width="42.5" style="259" customWidth="1"/>
    <col min="7" max="7" width="15.5" style="259" customWidth="1"/>
    <col min="8" max="8" width="20.5" style="259" customWidth="1"/>
    <col min="9" max="9" width="15.5" style="259" customWidth="1"/>
    <col min="10" max="10" width="70.33203125" style="259" customWidth="1"/>
    <col min="11" max="11" width="23.1640625" style="259" customWidth="1"/>
    <col min="12" max="12" width="39.33203125" style="259" bestFit="1" customWidth="1"/>
    <col min="13" max="13" width="46" style="259" customWidth="1"/>
    <col min="14" max="14" width="6.5" style="259" customWidth="1"/>
    <col min="15" max="15" width="6.5" style="23" customWidth="1"/>
    <col min="16" max="16" width="34.5" style="258" customWidth="1"/>
    <col min="17" max="17" width="19.5" style="24" customWidth="1"/>
    <col min="18" max="18" width="6.5" style="134" customWidth="1"/>
    <col min="19" max="19" width="6.5" style="132" customWidth="1"/>
    <col min="20" max="20" width="34.5" style="259" customWidth="1"/>
    <col min="21" max="21" width="19.5" style="259" customWidth="1"/>
    <col min="22" max="22" width="6.5" style="259" customWidth="1"/>
    <col min="23" max="23" width="6.5" style="23" customWidth="1"/>
    <col min="24" max="24" width="55" style="259" customWidth="1"/>
    <col min="25" max="25" width="19.5" style="259" customWidth="1"/>
    <col min="26" max="27" width="6.5" style="259" customWidth="1"/>
    <col min="28" max="28" width="56.1640625" style="259" customWidth="1"/>
    <col min="29" max="29" width="16.1640625" style="259" customWidth="1"/>
    <col min="30" max="30" width="14.1640625" style="259" customWidth="1"/>
    <col min="31" max="31" width="16.5" style="24" customWidth="1"/>
    <col min="32" max="32" width="6.5" style="259" customWidth="1"/>
    <col min="33" max="33" width="9.5" style="259" customWidth="1"/>
    <col min="34" max="34" width="6.5" style="259" customWidth="1"/>
    <col min="35" max="35" width="12.5" style="259" customWidth="1"/>
    <col min="36" max="40" width="6.5" style="259" customWidth="1"/>
    <col min="41" max="41" width="10.1640625" style="259" customWidth="1"/>
    <col min="42" max="42" width="9.83203125" style="259" customWidth="1"/>
    <col min="43" max="43" width="12.1640625" style="259" customWidth="1"/>
    <col min="44" max="44" width="6.5" style="259" customWidth="1"/>
    <col min="45" max="45" width="9" style="259" customWidth="1"/>
    <col min="46" max="46" width="6.5" style="259" customWidth="1"/>
    <col min="47" max="47" width="9.5" style="259" customWidth="1"/>
    <col min="48" max="52" width="6.5" style="259" customWidth="1"/>
    <col min="53" max="16384" width="8.83203125" style="259"/>
  </cols>
  <sheetData>
    <row r="1" spans="1:54" ht="45">
      <c r="A1" s="20" t="s">
        <v>138</v>
      </c>
      <c r="B1" s="21"/>
      <c r="C1" s="22"/>
      <c r="D1" s="21"/>
      <c r="E1" s="21"/>
      <c r="F1" s="21"/>
      <c r="G1" s="21"/>
      <c r="H1" s="21"/>
      <c r="I1" s="21"/>
      <c r="J1" s="21"/>
      <c r="K1" s="21"/>
      <c r="L1" s="21"/>
      <c r="M1" s="21"/>
      <c r="R1" s="259"/>
      <c r="S1" s="23"/>
    </row>
    <row r="2" spans="1:54" ht="45">
      <c r="A2" s="20" t="s">
        <v>139</v>
      </c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  <c r="M2" s="21"/>
      <c r="R2" s="259"/>
      <c r="S2" s="23"/>
    </row>
    <row r="3" spans="1:54" ht="40" customHeight="1">
      <c r="A3" s="585" t="s">
        <v>315</v>
      </c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R3" s="259"/>
      <c r="S3" s="23"/>
    </row>
    <row r="4" spans="1:54" ht="30" customHeight="1">
      <c r="A4" s="586" t="s">
        <v>330</v>
      </c>
      <c r="B4" s="586"/>
      <c r="C4" s="586"/>
      <c r="D4" s="586"/>
      <c r="E4" s="586"/>
      <c r="F4" s="586"/>
      <c r="G4" s="586"/>
      <c r="H4" s="586"/>
      <c r="I4" s="586"/>
      <c r="J4" s="586"/>
      <c r="K4" s="586"/>
      <c r="L4" s="586"/>
      <c r="M4" s="586"/>
      <c r="R4" s="259"/>
      <c r="S4" s="23"/>
    </row>
    <row r="5" spans="1:54" ht="30" customHeight="1">
      <c r="A5" s="587" t="s">
        <v>257</v>
      </c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R5" s="259"/>
      <c r="S5" s="23"/>
    </row>
    <row r="6" spans="1:54" s="28" customFormat="1" ht="16">
      <c r="O6" s="29"/>
      <c r="P6" s="30"/>
      <c r="Q6" s="31"/>
      <c r="S6" s="29"/>
      <c r="W6" s="29"/>
      <c r="AE6" s="31"/>
    </row>
    <row r="7" spans="1:54" s="28" customFormat="1" ht="16">
      <c r="O7" s="29"/>
      <c r="P7" s="30"/>
      <c r="Q7" s="31"/>
      <c r="S7" s="29"/>
      <c r="W7" s="32"/>
    </row>
    <row r="8" spans="1:54" s="28" customFormat="1" ht="16">
      <c r="O8" s="29"/>
      <c r="P8" s="30"/>
      <c r="Q8" s="31"/>
      <c r="S8" s="29"/>
      <c r="W8" s="32"/>
    </row>
    <row r="9" spans="1:54" ht="25" customHeight="1">
      <c r="A9" s="33" t="s">
        <v>172</v>
      </c>
      <c r="B9" s="258"/>
      <c r="C9" s="258"/>
      <c r="D9" s="258"/>
      <c r="E9" s="258"/>
      <c r="F9" s="258"/>
      <c r="G9" s="258"/>
      <c r="H9" s="258"/>
      <c r="I9" s="258"/>
      <c r="J9" s="258"/>
      <c r="K9" s="258"/>
      <c r="L9" s="258"/>
      <c r="M9" s="258"/>
      <c r="N9" s="26"/>
      <c r="R9" s="259"/>
      <c r="S9" s="23"/>
    </row>
    <row r="10" spans="1:54" ht="25" customHeight="1" thickBot="1">
      <c r="A10" s="34" t="s">
        <v>137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26"/>
      <c r="R10" s="259"/>
      <c r="S10" s="23"/>
    </row>
    <row r="11" spans="1:54" ht="25" customHeight="1" thickTop="1">
      <c r="A11" s="36"/>
      <c r="B11" s="37"/>
      <c r="C11" s="37"/>
      <c r="D11" s="37"/>
      <c r="E11" s="37"/>
      <c r="F11" s="37"/>
      <c r="G11" s="37"/>
      <c r="H11" s="37"/>
      <c r="I11" s="37"/>
      <c r="J11" s="38"/>
      <c r="K11" s="38"/>
      <c r="L11" s="39"/>
      <c r="M11" s="40"/>
      <c r="O11" s="54" t="s">
        <v>57</v>
      </c>
      <c r="P11" s="42"/>
      <c r="Q11" s="43"/>
      <c r="R11" s="259"/>
      <c r="S11" s="41" t="s">
        <v>81</v>
      </c>
      <c r="T11" s="42"/>
      <c r="U11" s="43"/>
      <c r="W11" s="12" t="s">
        <v>135</v>
      </c>
      <c r="X11" s="44"/>
      <c r="Y11" s="45"/>
      <c r="AE11" s="259"/>
      <c r="BB11" s="46"/>
    </row>
    <row r="12" spans="1:54" ht="25" customHeight="1">
      <c r="A12" s="1"/>
      <c r="B12" s="238"/>
      <c r="C12" s="238"/>
      <c r="D12" s="238"/>
      <c r="E12" s="238"/>
      <c r="F12" s="238"/>
      <c r="G12" s="238"/>
      <c r="H12" s="238"/>
      <c r="I12" s="238"/>
      <c r="J12" s="239"/>
      <c r="K12" s="239"/>
      <c r="L12" s="148"/>
      <c r="M12" s="240"/>
      <c r="O12" s="62"/>
      <c r="P12" s="70"/>
      <c r="Q12" s="79"/>
      <c r="R12" s="259"/>
      <c r="S12" s="47"/>
      <c r="T12" s="48" t="s">
        <v>112</v>
      </c>
      <c r="U12" s="49">
        <f>ROUNDDOWN(CELL_GRAN,0)</f>
        <v>8</v>
      </c>
      <c r="W12" s="232">
        <v>1</v>
      </c>
      <c r="X12" s="233" t="str">
        <f>IF(OR(
               H_PIXELS="",
               V_LINES="",
               IP_FREQ_RQD="",
               RED_BLANK_RQD="",
               AND(RED_BLANK_RQD="Y",
                         RED_BLANK_VER&lt;&gt;2,RED_BLANK_VER&lt;&gt;3),
               AND(RED_BLANK_RQD="Y",RED_BLANK_VER=2, VIDEO_OPT=""),
               AND(RED_BLANK_RQD="Y",
                         RED_BLANK_VER=3,
                         OR(Additional_HBlank ="", Additional_HBlank&lt;0, Additional_HBlank&gt;120))
              ),"ERROR!  Invalid Input Parameters","")</f>
        <v/>
      </c>
      <c r="Y12" s="260" t="str">
        <f>IF(OR(H_PIXELS="",V_LINES="",IP_FREQ_RQD="",RED_BLANK_RQD=""),"Yes","")</f>
        <v/>
      </c>
      <c r="AE12" s="259"/>
      <c r="BB12" s="46"/>
    </row>
    <row r="13" spans="1:54" ht="25" customHeight="1" thickBot="1">
      <c r="A13" s="1"/>
      <c r="B13" s="238"/>
      <c r="C13" s="238"/>
      <c r="D13" s="238"/>
      <c r="E13" s="238"/>
      <c r="F13" s="238"/>
      <c r="G13" s="238"/>
      <c r="H13" s="238"/>
      <c r="I13" s="238"/>
      <c r="J13" s="239"/>
      <c r="K13" s="239"/>
      <c r="L13" s="148"/>
      <c r="M13" s="240"/>
      <c r="O13" s="62" t="s">
        <v>83</v>
      </c>
      <c r="P13" s="70"/>
      <c r="Q13" s="79"/>
      <c r="R13" s="259"/>
      <c r="S13" s="47"/>
      <c r="T13" s="246" t="s">
        <v>261</v>
      </c>
      <c r="U13" s="231">
        <v>350</v>
      </c>
      <c r="W13" s="232">
        <v>2</v>
      </c>
      <c r="X13" s="234" t="str">
        <f>IF(H_PIXELS&lt;&gt;H_PIXELS_RND,"ERROR!  Horizontal Pixel Not Divisible by "&amp;CELL_GRAN&amp;", Count Rounded to Nearest Character Cell","")</f>
        <v/>
      </c>
      <c r="Y13" s="260"/>
      <c r="AE13" s="259"/>
      <c r="BB13" s="46"/>
    </row>
    <row r="14" spans="1:54" ht="35" customHeight="1" thickTop="1" thickBot="1">
      <c r="A14" s="1"/>
      <c r="B14" s="581" t="s">
        <v>273</v>
      </c>
      <c r="C14" s="581"/>
      <c r="D14" s="581"/>
      <c r="E14" s="581"/>
      <c r="F14" s="581"/>
      <c r="G14" s="581"/>
      <c r="H14" s="581"/>
      <c r="I14" s="581"/>
      <c r="J14" s="582"/>
      <c r="K14" s="284">
        <v>3840</v>
      </c>
      <c r="L14" s="583" t="str">
        <f>IF(H_PIXELS&lt;&gt;H_PIXELS_RND,"ERROR! - Not Divisible by "&amp;CELL_GRAN&amp;", rounded to Nearest Character Cell","")</f>
        <v/>
      </c>
      <c r="M14" s="584"/>
      <c r="O14" s="62"/>
      <c r="P14" s="70" t="s">
        <v>84</v>
      </c>
      <c r="Q14" s="81">
        <f>RB_H_PERIOD_EST</f>
        <v>7.5003867473544759</v>
      </c>
      <c r="R14" s="259"/>
      <c r="S14" s="276"/>
      <c r="T14" s="42"/>
      <c r="U14" s="277"/>
      <c r="W14" s="232">
        <v>3</v>
      </c>
      <c r="X14" s="233" t="str">
        <f>IF(V_LINES&lt;&gt;V_LINES_RND,"WARNING!  Vertical Pixel Count Rounded To Nearest Integer  ","")</f>
        <v/>
      </c>
      <c r="Y14" s="260"/>
      <c r="AE14" s="259"/>
      <c r="BB14" s="46"/>
    </row>
    <row r="15" spans="1:54" ht="35" customHeight="1" thickTop="1" thickBot="1">
      <c r="A15" s="1"/>
      <c r="B15" s="581" t="s">
        <v>271</v>
      </c>
      <c r="C15" s="581"/>
      <c r="D15" s="581"/>
      <c r="E15" s="581"/>
      <c r="F15" s="581"/>
      <c r="G15" s="581"/>
      <c r="H15" s="581"/>
      <c r="I15" s="581"/>
      <c r="J15" s="582"/>
      <c r="K15" s="284">
        <v>2160</v>
      </c>
      <c r="L15" s="583" t="str">
        <f>IF(V_LINES&lt;&gt;V_LINES_RND,"WARNING! - Rounded to Nearest Whole Line","")</f>
        <v/>
      </c>
      <c r="M15" s="584"/>
      <c r="O15" s="62"/>
      <c r="P15" s="70"/>
      <c r="Q15" s="79"/>
      <c r="R15" s="259"/>
      <c r="S15" s="41" t="s">
        <v>289</v>
      </c>
      <c r="T15" s="44"/>
      <c r="U15" s="279"/>
      <c r="W15" s="232">
        <v>4</v>
      </c>
      <c r="X15" s="233" t="str">
        <f>IF(F59="Not Standard","WARNING!  Aspect Ratio Not CVT Standard","")</f>
        <v/>
      </c>
      <c r="Y15" s="260"/>
      <c r="AE15" s="259"/>
      <c r="BB15" s="46"/>
    </row>
    <row r="16" spans="1:54" ht="35" customHeight="1" thickTop="1" thickBot="1">
      <c r="A16" s="1"/>
      <c r="B16" s="282" t="s">
        <v>274</v>
      </c>
      <c r="C16" s="282"/>
      <c r="D16" s="283"/>
      <c r="E16" s="283"/>
      <c r="F16" s="283"/>
      <c r="G16" s="578" t="str">
        <f>"NOTE: Actual frame rate will be within "&amp;ROUND(FrameRate_Error,6)&amp;" Hz due to pixel clock rounding to "&amp;CLOCK_STEP&amp;"MHz. Actual frame rate is off target by "&amp;ROUND(FrameRate_Error/IP_FREQ_RQD*1000000,2)&amp;" ppm."</f>
        <v>NOTE: Actual frame rate will be within 0 Hz due to pixel clock rounding to 0.001MHz. Actual frame rate is off target by 0 ppm.</v>
      </c>
      <c r="H16" s="579"/>
      <c r="I16" s="579"/>
      <c r="J16" s="580"/>
      <c r="K16" s="285">
        <v>60</v>
      </c>
      <c r="L16" s="5" t="s">
        <v>9</v>
      </c>
      <c r="M16" s="257"/>
      <c r="O16" s="62" t="s">
        <v>60</v>
      </c>
      <c r="P16" s="70"/>
      <c r="Q16" s="79"/>
      <c r="R16" s="259"/>
      <c r="S16" s="50">
        <v>1</v>
      </c>
      <c r="T16" s="258" t="s">
        <v>115</v>
      </c>
      <c r="U16" s="53"/>
      <c r="W16" s="232">
        <v>5</v>
      </c>
      <c r="X16" s="233" t="str">
        <f xml:space="preserve"> IF(RED_BLANK_RQD="n",
         IF(OR(IP_FREQ_RQD=50,IP_FREQ_RQD=60,IP_FREQ_RQD=75,IP_FREQ_RQD=85),
             "",
             "WARNING!  Refresh Rate not standard for CVT Standard Blanking"),
         "")</f>
        <v/>
      </c>
      <c r="Y16" s="260"/>
      <c r="AE16" s="259"/>
      <c r="BB16" s="46"/>
    </row>
    <row r="17" spans="1:54" ht="35" customHeight="1" thickTop="1" thickBot="1">
      <c r="A17" s="1"/>
      <c r="B17" s="581" t="s">
        <v>275</v>
      </c>
      <c r="C17" s="581"/>
      <c r="D17" s="581"/>
      <c r="E17" s="581"/>
      <c r="F17" s="581"/>
      <c r="G17" s="581"/>
      <c r="H17" s="581"/>
      <c r="I17" s="581"/>
      <c r="J17" s="582"/>
      <c r="K17" s="286" t="s">
        <v>169</v>
      </c>
      <c r="L17" s="583"/>
      <c r="M17" s="584"/>
      <c r="O17" s="62"/>
      <c r="P17" s="258" t="s">
        <v>85</v>
      </c>
      <c r="Q17" s="80">
        <f>RB_H_FREQ</f>
        <v>133.36683673469389</v>
      </c>
      <c r="R17" s="259"/>
      <c r="S17" s="57"/>
      <c r="T17" s="58" t="s">
        <v>114</v>
      </c>
      <c r="U17" s="49">
        <f>IP_FREQ_RQD+(PixelClockPPMAdj/1000000)*IP_FREQ_RQD</f>
        <v>60.021000000000001</v>
      </c>
      <c r="W17" s="232">
        <v>6</v>
      </c>
      <c r="X17" s="234" t="str">
        <f>IF(AND(RED_BLANK_RQD="Y",IP_FREQ_RQD&lt;&gt;60),
       IF(RED_BLANK_VER=2,
                 "Note: The standard Refresh Rate for CVT Reduced Blanking v2 is 60 Hz, but other refresh rates are permitted.",
                 ""),
       "")</f>
        <v/>
      </c>
      <c r="Y17" s="260"/>
      <c r="AE17" s="259"/>
      <c r="BB17" s="46"/>
    </row>
    <row r="18" spans="1:54" ht="35" customHeight="1" thickTop="1" thickBot="1">
      <c r="A18" s="1"/>
      <c r="B18" s="581" t="s">
        <v>280</v>
      </c>
      <c r="C18" s="581"/>
      <c r="D18" s="581"/>
      <c r="E18" s="581"/>
      <c r="F18" s="581"/>
      <c r="G18" s="581"/>
      <c r="H18" s="581"/>
      <c r="I18" s="581"/>
      <c r="J18" s="582"/>
      <c r="K18" s="286">
        <v>3</v>
      </c>
      <c r="L18" s="588" t="s">
        <v>327</v>
      </c>
      <c r="M18" s="589"/>
      <c r="O18" s="62" t="s">
        <v>59</v>
      </c>
      <c r="Q18" s="80"/>
      <c r="R18" s="259"/>
      <c r="S18" s="57"/>
      <c r="T18" s="58"/>
      <c r="U18" s="49"/>
      <c r="W18" s="232">
        <v>7</v>
      </c>
      <c r="X18" s="233" t="str">
        <f>IF(AND(Additional_HBlank&gt;0,RED_BLANK_RQD="Y",OR(RED_BLANK_VER=2)),"ERROR: Additional HBlank prohibited for Reduced Blanking v"&amp;RED_BLANK_VER,"")</f>
        <v/>
      </c>
      <c r="Y18" s="260"/>
      <c r="AE18" s="259"/>
      <c r="BB18" s="46"/>
    </row>
    <row r="19" spans="1:54" ht="35" customHeight="1" thickTop="1" thickBot="1">
      <c r="A19" s="1"/>
      <c r="B19" s="590" t="s">
        <v>276</v>
      </c>
      <c r="C19" s="590"/>
      <c r="D19" s="590"/>
      <c r="E19" s="590"/>
      <c r="F19" s="590"/>
      <c r="G19" s="590"/>
      <c r="H19" s="590"/>
      <c r="I19" s="590"/>
      <c r="J19" s="591"/>
      <c r="K19" s="286" t="s">
        <v>1</v>
      </c>
      <c r="L19" s="588" t="s">
        <v>328</v>
      </c>
      <c r="M19" s="589"/>
      <c r="O19" s="62"/>
      <c r="P19" s="258" t="s">
        <v>86</v>
      </c>
      <c r="Q19" s="80">
        <f>RB_FRAME_RATE</f>
        <v>60.021078638476105</v>
      </c>
      <c r="R19" s="259"/>
      <c r="S19" s="57">
        <f>S16+1</f>
        <v>2</v>
      </c>
      <c r="T19" s="58" t="s">
        <v>75</v>
      </c>
      <c r="U19" s="49"/>
      <c r="W19" s="232">
        <v>8</v>
      </c>
      <c r="X19" s="148" t="str">
        <f>IF(AND(EARLY_VSYNC_RQD="y",RED_BLANK_RQD="Y",OR(RED_BLANK_VER=2)),"ERROR: Early Vsync prohibited for Reduced Blanking v"&amp;RED_BLANK_VER,"")</f>
        <v/>
      </c>
      <c r="Y19" s="260"/>
      <c r="AE19" s="259"/>
      <c r="BB19" s="46"/>
    </row>
    <row r="20" spans="1:54" ht="67.5" customHeight="1" thickTop="1" thickBot="1">
      <c r="A20" s="1"/>
      <c r="B20" s="590" t="s">
        <v>277</v>
      </c>
      <c r="C20" s="590"/>
      <c r="D20" s="590"/>
      <c r="E20" s="590"/>
      <c r="F20" s="590"/>
      <c r="G20" s="590"/>
      <c r="H20" s="590"/>
      <c r="I20" s="590"/>
      <c r="J20" s="591"/>
      <c r="K20" s="287">
        <v>0</v>
      </c>
      <c r="L20" s="588" t="s">
        <v>329</v>
      </c>
      <c r="M20" s="589"/>
      <c r="O20" s="62" t="s">
        <v>58</v>
      </c>
      <c r="Q20" s="80"/>
      <c r="R20" s="259"/>
      <c r="S20" s="59"/>
      <c r="T20" s="60" t="s">
        <v>97</v>
      </c>
      <c r="U20" s="61">
        <f>ROUNDDOWN(H_PIXELS/CELL_GRAN_RND,0)*CELL_GRAN_RND</f>
        <v>3840</v>
      </c>
      <c r="W20" s="232">
        <v>9</v>
      </c>
      <c r="X20" s="148" t="str">
        <f>IF(AND(VIDEO_OPT="y",RED_BLANK_RQD="Y",OR(RED_BLANK_VER=3)),"ERROR: NTSC Video optimized variant prohibited for Reduced Blanking v"&amp;RED_BLANK_VER,"")</f>
        <v/>
      </c>
      <c r="Y20" s="260"/>
      <c r="AE20" s="259"/>
      <c r="BB20" s="46"/>
    </row>
    <row r="21" spans="1:54" ht="35" customHeight="1" thickTop="1" thickBot="1">
      <c r="A21" s="1"/>
      <c r="B21" s="590" t="s">
        <v>278</v>
      </c>
      <c r="C21" s="590"/>
      <c r="D21" s="590"/>
      <c r="E21" s="590"/>
      <c r="F21" s="590"/>
      <c r="G21" s="590"/>
      <c r="H21" s="590"/>
      <c r="I21" s="590"/>
      <c r="J21" s="590"/>
      <c r="K21" s="286" t="s">
        <v>1</v>
      </c>
      <c r="L21" s="588" t="s">
        <v>329</v>
      </c>
      <c r="M21" s="589"/>
      <c r="O21" s="62"/>
      <c r="P21" s="246" t="s">
        <v>87</v>
      </c>
      <c r="Q21" s="80">
        <f>RB_PIXEL_FREQ</f>
        <v>522.798</v>
      </c>
      <c r="R21" s="259"/>
      <c r="S21" s="62"/>
      <c r="T21" s="63" t="s">
        <v>77</v>
      </c>
      <c r="U21" s="61"/>
      <c r="W21" s="247">
        <v>10</v>
      </c>
      <c r="X21" s="261" t="str">
        <f>IF(OR(RB_V3_ADD_V_BLANK&gt;(245+F64)),"ERROR: Additional Vertical Blank is out of range",IF(MOD(RB_V3_ADD_V_BLANK,35)&gt;0,"Warning! Additional Vertical Blank does not have required granularity for DisplayID Type X Descriptor",""))</f>
        <v/>
      </c>
      <c r="Y21" s="52"/>
      <c r="AE21" s="259"/>
      <c r="BB21" s="46"/>
    </row>
    <row r="22" spans="1:54" ht="35" customHeight="1" thickTop="1" thickBot="1">
      <c r="A22" s="1"/>
      <c r="B22" s="590" t="s">
        <v>279</v>
      </c>
      <c r="C22" s="590"/>
      <c r="D22" s="590"/>
      <c r="E22" s="590"/>
      <c r="F22" s="590"/>
      <c r="G22" s="590"/>
      <c r="H22" s="578" t="str">
        <f>"Note: additional vertical blank time in the range 0 to 245 us plus duration of one horizontal line may be added. DisplayID Type X descriptor additionally requires increments of 35 microseconds"</f>
        <v>Note: additional vertical blank time in the range 0 to 245 us plus duration of one horizontal line may be added. DisplayID Type X descriptor additionally requires increments of 35 microseconds</v>
      </c>
      <c r="I22" s="578"/>
      <c r="J22" s="578"/>
      <c r="K22" s="288">
        <v>0</v>
      </c>
      <c r="L22" s="593" t="s">
        <v>329</v>
      </c>
      <c r="M22" s="594"/>
      <c r="O22" s="50"/>
      <c r="Q22" s="90"/>
      <c r="R22" s="259"/>
      <c r="S22" s="62"/>
      <c r="T22" s="70" t="s">
        <v>100</v>
      </c>
      <c r="U22" s="61">
        <f>H_PIXELS_RND</f>
        <v>3840</v>
      </c>
      <c r="W22" s="24"/>
      <c r="AE22" s="259"/>
      <c r="BB22" s="46"/>
    </row>
    <row r="23" spans="1:54" ht="31" thickTop="1">
      <c r="A23" s="1"/>
      <c r="B23" s="4"/>
      <c r="C23" s="4"/>
      <c r="D23" s="255"/>
      <c r="E23" s="255"/>
      <c r="F23" s="255"/>
      <c r="G23" s="6"/>
      <c r="H23" s="56"/>
      <c r="I23" s="56"/>
      <c r="J23" s="258"/>
      <c r="K23" s="7"/>
      <c r="M23" s="257"/>
      <c r="O23" s="62" t="s">
        <v>61</v>
      </c>
      <c r="Q23" s="90"/>
      <c r="R23" s="259"/>
      <c r="S23" s="62"/>
      <c r="T23" s="70"/>
      <c r="U23" s="61"/>
      <c r="W23" s="12" t="s">
        <v>136</v>
      </c>
      <c r="X23" s="44"/>
      <c r="Y23" s="45"/>
      <c r="AE23" s="259"/>
      <c r="BB23" s="46"/>
    </row>
    <row r="24" spans="1:54" ht="75" customHeight="1">
      <c r="A24" s="1"/>
      <c r="B24" s="256"/>
      <c r="C24" s="595" t="s">
        <v>71</v>
      </c>
      <c r="D24" s="597" t="str">
        <f>IF(ISNUMBER(SEARCH("error",W25)),W25,"OK")</f>
        <v>OK</v>
      </c>
      <c r="E24" s="598"/>
      <c r="F24" s="598"/>
      <c r="G24" s="598"/>
      <c r="H24" s="598"/>
      <c r="I24" s="598"/>
      <c r="J24" s="603" t="str">
        <f>IF(ISNUMBER(SEARCH("warning",W25)),W25,"") &amp; IF(ISNUMBER(SEARCH("warning",M91)),M91,"")</f>
        <v/>
      </c>
      <c r="K24" s="604"/>
      <c r="L24" s="605"/>
      <c r="M24" s="8"/>
      <c r="O24" s="62"/>
      <c r="P24" s="258" t="s">
        <v>88</v>
      </c>
      <c r="Q24" s="90">
        <f>RB_H_TOTAL</f>
        <v>3920</v>
      </c>
      <c r="R24" s="259"/>
      <c r="S24" s="62">
        <v>3</v>
      </c>
      <c r="T24" s="63" t="s">
        <v>78</v>
      </c>
      <c r="U24" s="61"/>
      <c r="W24" s="147"/>
      <c r="X24" s="148"/>
      <c r="Y24" s="260"/>
      <c r="AE24" s="259"/>
      <c r="BB24" s="46"/>
    </row>
    <row r="25" spans="1:54" ht="25" customHeight="1">
      <c r="A25" s="1"/>
      <c r="B25" s="256"/>
      <c r="C25" s="596"/>
      <c r="D25" s="599"/>
      <c r="E25" s="600"/>
      <c r="F25" s="600"/>
      <c r="G25" s="600"/>
      <c r="H25" s="600"/>
      <c r="I25" s="600"/>
      <c r="J25" s="606"/>
      <c r="K25" s="607"/>
      <c r="L25" s="608"/>
      <c r="M25" s="8"/>
      <c r="O25" s="62" t="s">
        <v>62</v>
      </c>
      <c r="Q25" s="90"/>
      <c r="R25" s="259"/>
      <c r="S25" s="59"/>
      <c r="T25" s="60" t="s">
        <v>101</v>
      </c>
      <c r="U25" s="61">
        <f>ROUNDDOWN(V_LINES,0)</f>
        <v>2160</v>
      </c>
      <c r="W25" s="612" t="str">
        <f>IF(X12&lt;&gt;"",X12 &amp; CHAR(10),"") &amp; IF(X13&lt;&gt;"",X13 &amp; CHAR(10),"") &amp; IF(X14&lt;&gt;"",X14 &amp; CHAR(10),"") &amp; IF(X15&lt;&gt;"",X15 &amp; CHAR(10),"") &amp; IF(X16&lt;&gt;"",X16 &amp; CHAR(10),"") &amp; IF(X17&lt;&gt;"",X17 &amp; CHAR(10),"")&amp;IF(X18&lt;&gt;"",X18 &amp; CHAR(10),"")&amp; IF(X19&lt;&gt;"",X19 &amp; CHAR(10),"")&amp; IF(X20&lt;&gt;"",X20 &amp; CHAR(10),"")&amp; IF(X21&lt;&gt;"",X21 &amp; CHAR(10),"")</f>
        <v/>
      </c>
      <c r="X25" s="613"/>
      <c r="Y25" s="614"/>
      <c r="AE25" s="259"/>
      <c r="BB25" s="46"/>
    </row>
    <row r="26" spans="1:54" ht="25" customHeight="1">
      <c r="A26" s="1"/>
      <c r="B26" s="256"/>
      <c r="C26" s="596"/>
      <c r="D26" s="599"/>
      <c r="E26" s="600"/>
      <c r="F26" s="600"/>
      <c r="G26" s="600"/>
      <c r="H26" s="600"/>
      <c r="I26" s="600"/>
      <c r="J26" s="606"/>
      <c r="K26" s="607"/>
      <c r="L26" s="608"/>
      <c r="M26" s="8"/>
      <c r="O26" s="62"/>
      <c r="P26" s="258" t="s">
        <v>89</v>
      </c>
      <c r="Q26" s="90">
        <f>RB_H_BLANK</f>
        <v>80</v>
      </c>
      <c r="R26" s="46"/>
      <c r="S26" s="50"/>
      <c r="U26" s="49"/>
      <c r="W26" s="615"/>
      <c r="X26" s="613"/>
      <c r="Y26" s="614"/>
      <c r="AE26" s="259"/>
      <c r="BB26" s="46"/>
    </row>
    <row r="27" spans="1:54" ht="25" customHeight="1" thickBot="1">
      <c r="A27" s="1"/>
      <c r="B27" s="256"/>
      <c r="C27" s="596"/>
      <c r="D27" s="599"/>
      <c r="E27" s="600"/>
      <c r="F27" s="600"/>
      <c r="G27" s="600"/>
      <c r="H27" s="600"/>
      <c r="I27" s="600"/>
      <c r="J27" s="606"/>
      <c r="K27" s="607"/>
      <c r="L27" s="608"/>
      <c r="M27" s="8"/>
      <c r="O27" s="62" t="s">
        <v>64</v>
      </c>
      <c r="Q27" s="90"/>
      <c r="R27" s="259"/>
      <c r="S27" s="50">
        <v>4</v>
      </c>
      <c r="T27" s="55" t="s">
        <v>124</v>
      </c>
      <c r="U27" s="49"/>
      <c r="W27" s="616"/>
      <c r="X27" s="617"/>
      <c r="Y27" s="618"/>
      <c r="AE27" s="259"/>
      <c r="BB27" s="46"/>
    </row>
    <row r="28" spans="1:54" ht="25" customHeight="1">
      <c r="A28" s="1"/>
      <c r="B28" s="256"/>
      <c r="C28" s="596"/>
      <c r="D28" s="599"/>
      <c r="E28" s="600"/>
      <c r="F28" s="600"/>
      <c r="G28" s="600"/>
      <c r="H28" s="600"/>
      <c r="I28" s="600"/>
      <c r="J28" s="606"/>
      <c r="K28" s="607"/>
      <c r="L28" s="608"/>
      <c r="M28" s="221"/>
      <c r="O28" s="62"/>
      <c r="P28" s="258" t="s">
        <v>90</v>
      </c>
      <c r="Q28" s="90">
        <f xml:space="preserve"> IF(AND((RED_BLANK_RQD="y"),(RED_BLANK_VER=3)),K102, H_BLANK-H_BACK_PORCH-H_SYNC_RND)</f>
        <v>8</v>
      </c>
      <c r="R28" s="46"/>
      <c r="S28" s="50"/>
      <c r="T28" s="46" t="s">
        <v>116</v>
      </c>
      <c r="U28" s="49">
        <f>((1000000/V_FIELD_RATE_RQD)-RB_MIN_V_BLANK)/(V_LINES_RND)</f>
        <v>7.5003867473544759</v>
      </c>
      <c r="W28" s="24"/>
      <c r="AE28" s="259"/>
      <c r="BB28" s="46"/>
    </row>
    <row r="29" spans="1:54" ht="25" customHeight="1">
      <c r="A29" s="1"/>
      <c r="B29" s="256"/>
      <c r="C29" s="596"/>
      <c r="D29" s="599"/>
      <c r="E29" s="600"/>
      <c r="F29" s="600"/>
      <c r="G29" s="600"/>
      <c r="H29" s="600"/>
      <c r="I29" s="600"/>
      <c r="J29" s="606"/>
      <c r="K29" s="607"/>
      <c r="L29" s="608"/>
      <c r="M29" s="8"/>
      <c r="O29" s="62" t="s">
        <v>65</v>
      </c>
      <c r="Q29" s="90"/>
      <c r="R29" s="46"/>
      <c r="S29" s="50"/>
      <c r="T29" s="46"/>
      <c r="U29" s="49"/>
      <c r="W29" s="24"/>
      <c r="AE29" s="259"/>
      <c r="BB29" s="46"/>
    </row>
    <row r="30" spans="1:54" ht="25" customHeight="1">
      <c r="A30" s="1"/>
      <c r="B30" s="256"/>
      <c r="C30" s="596"/>
      <c r="D30" s="601"/>
      <c r="E30" s="602"/>
      <c r="F30" s="602"/>
      <c r="G30" s="602"/>
      <c r="H30" s="602"/>
      <c r="I30" s="602"/>
      <c r="J30" s="609"/>
      <c r="K30" s="610"/>
      <c r="L30" s="611"/>
      <c r="M30" s="8"/>
      <c r="O30" s="62"/>
      <c r="P30" s="258" t="s">
        <v>91</v>
      </c>
      <c r="Q30" s="90">
        <f>IF(RED_BLANK_RQD="Y",U73,(ROUNDDOWN((H_SYNC_PER/100*TOTAL_PIXELS/CELL_GRAN_RND),0))*CELL_GRAN_RND)</f>
        <v>32</v>
      </c>
      <c r="R30" s="46"/>
      <c r="S30" s="50">
        <v>5</v>
      </c>
      <c r="T30" s="208" t="s">
        <v>287</v>
      </c>
      <c r="U30" s="49"/>
      <c r="W30" s="24"/>
      <c r="AE30" s="259"/>
      <c r="BB30" s="46"/>
    </row>
    <row r="31" spans="1:54" ht="25" customHeight="1" thickBot="1">
      <c r="A31" s="1"/>
      <c r="B31" s="256"/>
      <c r="C31" s="134"/>
      <c r="D31" s="262"/>
      <c r="E31" s="262"/>
      <c r="F31" s="262"/>
      <c r="G31" s="262"/>
      <c r="H31" s="262"/>
      <c r="I31" s="262"/>
      <c r="J31" s="262"/>
      <c r="K31" s="262"/>
      <c r="L31" s="262"/>
      <c r="M31" s="8"/>
      <c r="O31" s="62" t="s">
        <v>66</v>
      </c>
      <c r="Q31" s="90"/>
      <c r="R31" s="259"/>
      <c r="S31" s="50"/>
      <c r="T31" s="138" t="s">
        <v>288</v>
      </c>
      <c r="U31" s="53">
        <f>RB_MIN_V_BLANK</f>
        <v>460</v>
      </c>
      <c r="W31" s="24"/>
      <c r="AE31" s="259"/>
      <c r="BB31" s="46"/>
    </row>
    <row r="32" spans="1:54" ht="35" customHeight="1" thickTop="1" thickBot="1">
      <c r="A32" s="1"/>
      <c r="B32" s="581" t="s">
        <v>301</v>
      </c>
      <c r="C32" s="581"/>
      <c r="D32" s="581"/>
      <c r="E32" s="581"/>
      <c r="F32" s="581"/>
      <c r="G32" s="581"/>
      <c r="H32" s="581"/>
      <c r="I32" s="581"/>
      <c r="J32" s="582"/>
      <c r="K32" s="140">
        <v>24</v>
      </c>
      <c r="L32" s="139" t="s">
        <v>175</v>
      </c>
      <c r="M32" s="8"/>
      <c r="O32" s="62"/>
      <c r="P32" s="258" t="s">
        <v>92</v>
      </c>
      <c r="Q32" s="90">
        <f xml:space="preserve"> IF(AND((RED_BLANK_RQD="y"),(RED_BLANK_VER=3)), H_BLANK-H_FRONT_PORCH-H_SYNC_RND)</f>
        <v>40</v>
      </c>
      <c r="R32" s="259"/>
      <c r="S32" s="50">
        <v>6</v>
      </c>
      <c r="T32" s="208" t="s">
        <v>131</v>
      </c>
      <c r="U32" s="49"/>
      <c r="W32" s="24"/>
      <c r="X32" s="577"/>
      <c r="AE32" s="259"/>
      <c r="BB32" s="46"/>
    </row>
    <row r="33" spans="1:54" ht="35" customHeight="1" thickTop="1" thickBot="1">
      <c r="A33" s="1"/>
      <c r="B33" s="581" t="s">
        <v>302</v>
      </c>
      <c r="C33" s="581"/>
      <c r="D33" s="581"/>
      <c r="E33" s="581"/>
      <c r="F33" s="581"/>
      <c r="G33" s="581"/>
      <c r="H33" s="581"/>
      <c r="I33" s="581"/>
      <c r="J33" s="582"/>
      <c r="K33" s="140">
        <v>4</v>
      </c>
      <c r="L33" s="139" t="s">
        <v>173</v>
      </c>
      <c r="M33" s="8"/>
      <c r="O33" s="50"/>
      <c r="Q33" s="90"/>
      <c r="R33" s="259"/>
      <c r="S33" s="50"/>
      <c r="T33" s="46" t="s">
        <v>107</v>
      </c>
      <c r="U33" s="49">
        <f>ROUNDDOWN(RB_MIN_V_BLANK/RB_H_PERIOD_EST,0)+1</f>
        <v>62</v>
      </c>
      <c r="W33" s="24"/>
      <c r="AE33" s="259"/>
      <c r="BB33" s="46"/>
    </row>
    <row r="34" spans="1:54" ht="35" customHeight="1" thickTop="1" thickBot="1">
      <c r="A34" s="1"/>
      <c r="B34" s="581" t="s">
        <v>303</v>
      </c>
      <c r="C34" s="581"/>
      <c r="D34" s="581"/>
      <c r="E34" s="581"/>
      <c r="F34" s="581"/>
      <c r="G34" s="581"/>
      <c r="H34" s="581"/>
      <c r="I34" s="581"/>
      <c r="J34" s="582"/>
      <c r="K34" s="141">
        <v>5.4</v>
      </c>
      <c r="L34" s="139" t="s">
        <v>174</v>
      </c>
      <c r="M34" s="8"/>
      <c r="O34" s="62" t="s">
        <v>63</v>
      </c>
      <c r="Q34" s="90"/>
      <c r="R34" s="259"/>
      <c r="S34" s="50"/>
      <c r="T34" s="259" t="s">
        <v>55</v>
      </c>
      <c r="U34" s="53">
        <f>RB_MIN_V_BLANK/RB_H_PERIOD_EST</f>
        <v>61.330170762494404</v>
      </c>
      <c r="W34" s="24"/>
      <c r="AE34" s="259"/>
      <c r="BB34" s="46"/>
    </row>
    <row r="35" spans="1:54" ht="35" customHeight="1" thickTop="1" thickBot="1">
      <c r="A35" s="1"/>
      <c r="B35" s="289" t="s">
        <v>304</v>
      </c>
      <c r="C35" s="290"/>
      <c r="D35" s="291"/>
      <c r="E35" s="291"/>
      <c r="F35" s="291"/>
      <c r="G35" s="291"/>
      <c r="H35" s="291"/>
      <c r="I35" s="291"/>
      <c r="J35" s="291"/>
      <c r="K35" s="141">
        <v>0</v>
      </c>
      <c r="L35" s="139"/>
      <c r="M35" s="8"/>
      <c r="O35" s="62"/>
      <c r="P35" s="258" t="s">
        <v>93</v>
      </c>
      <c r="Q35" s="94">
        <f>RB_TOTAL_V_LINES</f>
        <v>2222</v>
      </c>
      <c r="R35" s="259"/>
      <c r="S35" s="50"/>
      <c r="U35" s="53"/>
      <c r="W35" s="24"/>
      <c r="AE35" s="259"/>
      <c r="BB35" s="46"/>
    </row>
    <row r="36" spans="1:54" ht="35" customHeight="1" thickTop="1" thickBot="1">
      <c r="A36" s="1"/>
      <c r="B36" s="289" t="s">
        <v>305</v>
      </c>
      <c r="C36" s="290"/>
      <c r="D36" s="291"/>
      <c r="E36" s="291"/>
      <c r="F36" s="291"/>
      <c r="G36" s="291"/>
      <c r="H36" s="291"/>
      <c r="I36" s="291"/>
      <c r="J36" s="291"/>
      <c r="K36" s="141">
        <v>0</v>
      </c>
      <c r="L36" s="139"/>
      <c r="M36" s="8"/>
      <c r="O36" s="62" t="s">
        <v>67</v>
      </c>
      <c r="Q36" s="94"/>
      <c r="R36" s="259"/>
      <c r="S36" s="50">
        <f>S32+1</f>
        <v>7</v>
      </c>
      <c r="T36" s="138" t="s">
        <v>143</v>
      </c>
      <c r="U36" s="53"/>
      <c r="W36" s="24"/>
      <c r="AE36" s="259"/>
      <c r="BB36" s="46"/>
    </row>
    <row r="37" spans="1:54" ht="35" customHeight="1" thickTop="1" thickBot="1">
      <c r="A37" s="1"/>
      <c r="B37" s="581" t="s">
        <v>178</v>
      </c>
      <c r="C37" s="581"/>
      <c r="D37" s="581"/>
      <c r="E37" s="581"/>
      <c r="F37" s="581"/>
      <c r="G37" s="581"/>
      <c r="H37" s="581"/>
      <c r="I37" s="581"/>
      <c r="J37" s="592"/>
      <c r="K37" s="144">
        <f>DSCBitsPerPixel+(DSCBitsPerPixel_Frac/16)</f>
        <v>0</v>
      </c>
      <c r="L37" s="139"/>
      <c r="M37" s="8"/>
      <c r="O37" s="62"/>
      <c r="P37" s="258" t="s">
        <v>94</v>
      </c>
      <c r="Q37" s="90">
        <f>ACT_VBI_LINES</f>
        <v>62</v>
      </c>
      <c r="R37" s="259"/>
      <c r="S37" s="243"/>
      <c r="T37" s="244" t="s">
        <v>251</v>
      </c>
      <c r="U37" s="245">
        <f>IF(AND((RED_BLANK_RQD="y"),(RED_BLANK_VER=3),EARLY_VSYNC_RQD ="y"), ROUNDDOWN(VBI_LINES/2,0), RB_MIN_V_BPORCH)</f>
        <v>6</v>
      </c>
      <c r="W37" s="24"/>
      <c r="AE37" s="259"/>
      <c r="BB37" s="46"/>
    </row>
    <row r="38" spans="1:54" ht="35" customHeight="1" thickTop="1" thickBot="1">
      <c r="A38" s="1"/>
      <c r="B38" s="581" t="s">
        <v>176</v>
      </c>
      <c r="C38" s="581"/>
      <c r="D38" s="581"/>
      <c r="E38" s="581"/>
      <c r="F38" s="581"/>
      <c r="G38" s="581"/>
      <c r="H38" s="581"/>
      <c r="I38" s="581"/>
      <c r="J38" s="592"/>
      <c r="K38" s="144">
        <f>ROUND(ACT_PIXEL_FREQ*(IF((TargetDSCBitsPerPixel &lt;= 0), DPBitsPerPixel, TargetDSCBitsPerPixel)/1000),3)</f>
        <v>12.547000000000001</v>
      </c>
      <c r="L38" s="139" t="s">
        <v>174</v>
      </c>
      <c r="M38" s="8"/>
      <c r="O38" s="62" t="s">
        <v>68</v>
      </c>
      <c r="Q38" s="90"/>
      <c r="R38" s="259"/>
      <c r="S38" s="50"/>
      <c r="T38" s="259" t="s">
        <v>156</v>
      </c>
      <c r="U38" s="53">
        <f>RB_V_FPORCH+V_SYNC_RND+U37</f>
        <v>15</v>
      </c>
      <c r="W38" s="24"/>
      <c r="AE38" s="259"/>
      <c r="BB38" s="46"/>
    </row>
    <row r="39" spans="1:54" ht="35" customHeight="1" thickTop="1" thickBot="1">
      <c r="A39" s="1"/>
      <c r="B39" s="581" t="str">
        <f xml:space="preserve"> "Required DisplayPort Link Bandwidth with Transport Overhead of x"&amp;ROUND(IF((TargetDSCBitsPerPixel &lt;= 0), 1, 1/IF(DPRate&lt;10, (1-(2.4/100)),1))/(IF(DPRate&lt;10, 8/10,0.9671)),3)&amp;" for the timing"</f>
        <v>Required DisplayPort Link Bandwidth with Transport Overhead of x1.25 for the timing</v>
      </c>
      <c r="C39" s="581"/>
      <c r="D39" s="581"/>
      <c r="E39" s="581"/>
      <c r="F39" s="581"/>
      <c r="G39" s="581"/>
      <c r="H39" s="581"/>
      <c r="I39" s="581"/>
      <c r="J39" s="592"/>
      <c r="K39" s="144">
        <f>ROUND(ACT_PIXEL_FREQ*(IF((TargetDSCBitsPerPixel &lt;= 0), DPBitsPerPixel, TargetDSCBitsPerPixel/IF(DPRate&lt;10, (1-(2.4/100)),1))/(IF(DPRate&lt;10, 8/10,0.9671)*1000)),3)</f>
        <v>15.683999999999999</v>
      </c>
      <c r="L39" s="139" t="s">
        <v>174</v>
      </c>
      <c r="M39" s="8"/>
      <c r="O39" s="62"/>
      <c r="P39" s="258" t="s">
        <v>95</v>
      </c>
      <c r="Q39" s="90">
        <f>V_BLANK-V_BACK_PORCH-V_SYNC_RND</f>
        <v>48</v>
      </c>
      <c r="R39" s="259"/>
      <c r="S39" s="50"/>
      <c r="T39" s="259" t="s">
        <v>144</v>
      </c>
      <c r="U39" s="53">
        <f>IF(VBI_LINES&lt;RB_MIN_VBI,RB_MIN_VBI,VBI_LINES)</f>
        <v>62</v>
      </c>
      <c r="W39" s="24"/>
      <c r="X39" s="46"/>
      <c r="AE39" s="259"/>
      <c r="BB39" s="46"/>
    </row>
    <row r="40" spans="1:54" ht="35" customHeight="1" thickTop="1" thickBot="1">
      <c r="A40" s="1"/>
      <c r="B40" s="581" t="str">
        <f>"Is the timing supported with "&amp;DPLanes&amp;" Lanes @ "&amp;DPRate&amp;" Gbps DisplayPort Link Configuration?"</f>
        <v>Is the timing supported with 4 Lanes @ 5.4 Gbps DisplayPort Link Configuration?</v>
      </c>
      <c r="C40" s="581"/>
      <c r="D40" s="581"/>
      <c r="E40" s="581"/>
      <c r="F40" s="581"/>
      <c r="G40" s="581"/>
      <c r="H40" s="581"/>
      <c r="I40" s="581"/>
      <c r="J40" s="592"/>
      <c r="K40" s="294" t="str">
        <f>IF(RequiredRawDPLinkBW&lt;=(DPLanes*DPRate),"YES","NO")</f>
        <v>YES</v>
      </c>
      <c r="L40" s="139"/>
      <c r="M40" s="8"/>
      <c r="O40" s="62" t="s">
        <v>69</v>
      </c>
      <c r="Q40" s="90"/>
      <c r="R40" s="259"/>
      <c r="S40" s="50"/>
      <c r="U40" s="53"/>
      <c r="W40" s="24"/>
      <c r="AE40" s="259"/>
      <c r="BB40" s="46"/>
    </row>
    <row r="41" spans="1:54" ht="39.75" customHeight="1" thickTop="1">
      <c r="A41" s="1"/>
      <c r="B41" s="289"/>
      <c r="C41" s="289"/>
      <c r="D41" s="289"/>
      <c r="E41" s="289"/>
      <c r="F41" s="289"/>
      <c r="G41" s="289"/>
      <c r="H41" s="289"/>
      <c r="I41" s="289"/>
      <c r="J41" s="292"/>
      <c r="K41" s="293"/>
      <c r="L41" s="139"/>
      <c r="M41" s="8"/>
      <c r="O41" s="62"/>
      <c r="P41" s="258" t="s">
        <v>96</v>
      </c>
      <c r="Q41" s="90">
        <f>INT(V_SYNC)</f>
        <v>8</v>
      </c>
      <c r="R41" s="259"/>
      <c r="S41" s="50">
        <f>S36+1</f>
        <v>8</v>
      </c>
      <c r="T41" s="46" t="s">
        <v>127</v>
      </c>
      <c r="U41" s="49"/>
      <c r="W41" s="24"/>
      <c r="AE41" s="259"/>
      <c r="BB41" s="46"/>
    </row>
    <row r="42" spans="1:54" ht="39.75" customHeight="1">
      <c r="A42" s="1"/>
      <c r="B42" s="289"/>
      <c r="C42" s="289"/>
      <c r="D42" s="289"/>
      <c r="E42" s="289"/>
      <c r="F42" s="289"/>
      <c r="G42" s="289"/>
      <c r="H42" s="289"/>
      <c r="I42" s="289"/>
      <c r="J42" s="292"/>
      <c r="K42" s="289"/>
      <c r="L42" s="139"/>
      <c r="M42" s="8"/>
      <c r="O42" s="62" t="s">
        <v>70</v>
      </c>
      <c r="Q42" s="90"/>
      <c r="R42" s="259"/>
      <c r="S42" s="50"/>
      <c r="T42" s="71" t="s">
        <v>10</v>
      </c>
      <c r="U42" s="49">
        <f>ACT_VBI_LINES+V_LINES_RND</f>
        <v>2222</v>
      </c>
      <c r="W42" s="24"/>
      <c r="AE42" s="259"/>
      <c r="BB42" s="46"/>
    </row>
    <row r="43" spans="1:54" ht="20">
      <c r="A43" s="1"/>
      <c r="M43" s="8"/>
      <c r="O43" s="62"/>
      <c r="P43" s="246" t="s">
        <v>283</v>
      </c>
      <c r="Q43" s="90">
        <f>IF(AND((RED_BLANK_RQD="y"),(RED_BLANK_VER=3),EARLY_VSYNC_RQD ="y"), ROUNDDOWN(VBI_LINES/2,0), RB_MIN_V_BPORCH)</f>
        <v>6</v>
      </c>
      <c r="R43" s="259"/>
      <c r="S43" s="50"/>
      <c r="T43" s="71"/>
      <c r="U43" s="49"/>
      <c r="W43" s="24"/>
      <c r="AE43" s="259"/>
      <c r="BB43" s="46"/>
    </row>
    <row r="44" spans="1:54" ht="25" customHeight="1" thickBot="1">
      <c r="A44" s="64"/>
      <c r="J44" s="134"/>
      <c r="M44" s="65"/>
      <c r="O44" s="51"/>
      <c r="P44" s="104"/>
      <c r="Q44" s="85"/>
      <c r="R44" s="259"/>
      <c r="S44" s="50">
        <v>9</v>
      </c>
      <c r="T44" s="278" t="s">
        <v>290</v>
      </c>
      <c r="U44" s="49"/>
      <c r="AE44" s="259"/>
      <c r="BB44" s="46"/>
    </row>
    <row r="45" spans="1:54" ht="25" customHeight="1" thickTop="1">
      <c r="A45" s="39"/>
      <c r="B45" s="16"/>
      <c r="C45" s="66"/>
      <c r="D45" s="39"/>
      <c r="E45" s="39"/>
      <c r="F45" s="39"/>
      <c r="G45" s="39"/>
      <c r="H45" s="39"/>
      <c r="I45" s="39"/>
      <c r="J45" s="39"/>
      <c r="K45" s="17"/>
      <c r="L45" s="67"/>
      <c r="M45" s="39"/>
      <c r="R45" s="259"/>
      <c r="S45" s="50"/>
      <c r="T45" s="138" t="s">
        <v>291</v>
      </c>
      <c r="U45" s="49">
        <f xml:space="preserve"> V_BACK_PORCH</f>
        <v>6</v>
      </c>
      <c r="AE45" s="259"/>
      <c r="BB45" s="46"/>
    </row>
    <row r="46" spans="1:54" ht="25" customHeight="1">
      <c r="B46" s="9"/>
      <c r="C46" s="68"/>
      <c r="K46" s="10"/>
      <c r="L46" s="69"/>
      <c r="P46" s="235"/>
      <c r="Q46" s="236"/>
      <c r="R46" s="259"/>
      <c r="S46" s="50"/>
      <c r="T46" s="71"/>
      <c r="U46" s="49"/>
      <c r="AE46" s="259"/>
      <c r="BB46" s="46"/>
    </row>
    <row r="47" spans="1:54" ht="25" customHeight="1">
      <c r="A47" s="620" t="str">
        <f>"Format: " &amp; F52 &amp;" x " &amp; F53 &amp; " @ " &amp; IP_FREQ_RQD &amp; " Hz" &amp; IF(RED_BLANK_RQD="Y"," - Reduced Blanking","")</f>
        <v>Format: 3840 x 2160 @ 60 Hz - Reduced Blanking</v>
      </c>
      <c r="B47" s="621"/>
      <c r="C47" s="621"/>
      <c r="D47" s="621"/>
      <c r="E47" s="621"/>
      <c r="F47" s="621"/>
      <c r="G47" s="621"/>
      <c r="H47" s="621"/>
      <c r="I47" s="621"/>
      <c r="J47" s="621"/>
      <c r="K47" s="621"/>
      <c r="L47" s="621"/>
      <c r="M47" s="621"/>
      <c r="P47" s="235"/>
      <c r="Q47" s="236"/>
      <c r="R47" s="259"/>
      <c r="S47" s="50">
        <v>10</v>
      </c>
      <c r="T47" s="278" t="s">
        <v>292</v>
      </c>
      <c r="U47" s="49"/>
      <c r="X47" s="248"/>
      <c r="Y47" s="250"/>
      <c r="AB47" s="248"/>
      <c r="AC47" s="248"/>
      <c r="AE47" s="259"/>
      <c r="BB47" s="46"/>
    </row>
    <row r="48" spans="1:54" ht="25" customHeight="1">
      <c r="A48" s="621"/>
      <c r="B48" s="621"/>
      <c r="C48" s="621"/>
      <c r="D48" s="621"/>
      <c r="E48" s="621"/>
      <c r="F48" s="621"/>
      <c r="G48" s="621"/>
      <c r="H48" s="621"/>
      <c r="I48" s="621"/>
      <c r="J48" s="621"/>
      <c r="K48" s="621"/>
      <c r="L48" s="621"/>
      <c r="M48" s="621"/>
      <c r="P48" s="235"/>
      <c r="Q48" s="237"/>
      <c r="R48" s="259"/>
      <c r="S48" s="50"/>
      <c r="T48" s="278" t="s">
        <v>293</v>
      </c>
      <c r="U48" s="49">
        <f>V_FRONT_PORCH</f>
        <v>48</v>
      </c>
      <c r="X48" s="248"/>
      <c r="Y48" s="248"/>
      <c r="AB48" s="249"/>
      <c r="AC48" s="249"/>
      <c r="AE48" s="259"/>
      <c r="BB48" s="46"/>
    </row>
    <row r="49" spans="1:58" ht="25" customHeight="1">
      <c r="A49" s="622" t="str">
        <f>"VESA CVT Name: " &amp; IF(D24="OK",TEXT(H_PIXELS_RND*V_LINES_RND/1000000,"0.00") &amp;"M" &amp; IF(ASPECT_RATIO="4:3","3",IF(ASPECT_RATIO="5:4","4",IF(OR(ASPECT_RATIO="15:9",ASPECT_RATIO="16:9"),"9",IF(ASPECT_RATIO="16:10","A","")))) &amp; IF(RED_BLANK_RQD="Y","-R",""),"NOT CVT STANDARD! - " &amp; TEXT(H_PIXELS_RND*V_LINES_RND/1000000,"0.00") &amp;" Mega Pixel Image")</f>
        <v>VESA CVT Name: 8.29M9-R</v>
      </c>
      <c r="B49" s="623"/>
      <c r="C49" s="623"/>
      <c r="D49" s="623"/>
      <c r="E49" s="623"/>
      <c r="F49" s="623"/>
      <c r="G49" s="623"/>
      <c r="H49" s="623"/>
      <c r="I49" s="623"/>
      <c r="J49" s="623"/>
      <c r="K49" s="623"/>
      <c r="L49" s="623"/>
      <c r="M49" s="623"/>
      <c r="P49" s="235"/>
      <c r="Q49" s="236"/>
      <c r="R49" s="46"/>
      <c r="S49" s="50"/>
      <c r="U49" s="53"/>
      <c r="X49" s="248"/>
      <c r="Y49" s="248"/>
      <c r="Z49" s="248"/>
      <c r="AB49" s="249"/>
      <c r="AC49" s="249"/>
      <c r="AE49" s="259"/>
      <c r="BB49" s="46"/>
    </row>
    <row r="50" spans="1:58" ht="25" customHeight="1" thickBot="1">
      <c r="A50" s="623"/>
      <c r="B50" s="623"/>
      <c r="C50" s="623"/>
      <c r="D50" s="623"/>
      <c r="E50" s="623"/>
      <c r="F50" s="623"/>
      <c r="G50" s="623"/>
      <c r="H50" s="623"/>
      <c r="I50" s="623"/>
      <c r="J50" s="623"/>
      <c r="K50" s="623"/>
      <c r="L50" s="623"/>
      <c r="M50" s="623"/>
      <c r="P50" s="235"/>
      <c r="Q50" s="236"/>
      <c r="R50" s="259"/>
      <c r="S50" s="50">
        <v>11</v>
      </c>
      <c r="T50" s="46" t="s">
        <v>130</v>
      </c>
      <c r="U50" s="49"/>
      <c r="V50" s="46"/>
      <c r="X50" s="248"/>
      <c r="Y50" s="248"/>
      <c r="AA50" s="24"/>
      <c r="AB50" s="249"/>
      <c r="AC50" s="248"/>
      <c r="AD50" s="248"/>
      <c r="AE50" s="259"/>
      <c r="BF50" s="46"/>
    </row>
    <row r="51" spans="1:58" ht="25" customHeight="1" thickTop="1">
      <c r="A51" s="13"/>
      <c r="B51" s="14"/>
      <c r="C51" s="14"/>
      <c r="D51" s="14"/>
      <c r="E51" s="14"/>
      <c r="F51" s="14"/>
      <c r="G51" s="14"/>
      <c r="H51" s="149"/>
      <c r="I51" s="14"/>
      <c r="J51" s="19"/>
      <c r="K51" s="14"/>
      <c r="L51" s="14"/>
      <c r="M51" s="15"/>
      <c r="R51" s="259"/>
      <c r="S51" s="50"/>
      <c r="T51" s="46" t="s">
        <v>15</v>
      </c>
      <c r="U51" s="49">
        <f>RB_H_BLANK+TOTAL_ACTIVE_PIXELS</f>
        <v>3920</v>
      </c>
      <c r="V51" s="46"/>
      <c r="X51" s="248"/>
      <c r="Y51" s="248"/>
      <c r="AA51" s="24"/>
      <c r="AB51" s="249"/>
      <c r="AC51" s="248"/>
      <c r="AD51" s="248"/>
      <c r="AE51" s="259"/>
      <c r="BF51" s="46"/>
    </row>
    <row r="52" spans="1:58" ht="25" customHeight="1">
      <c r="A52" s="72"/>
      <c r="B52" s="146" t="s">
        <v>2</v>
      </c>
      <c r="C52" s="74"/>
      <c r="D52" s="74"/>
      <c r="E52" s="74"/>
      <c r="F52" s="150">
        <f>H_PIXELS_RND</f>
        <v>3840</v>
      </c>
      <c r="G52" s="263" t="s">
        <v>3</v>
      </c>
      <c r="H52" s="151"/>
      <c r="J52" s="152"/>
      <c r="K52" s="117"/>
      <c r="L52" s="74"/>
      <c r="M52" s="76"/>
      <c r="R52" s="259"/>
      <c r="S52" s="50"/>
      <c r="T52" s="46"/>
      <c r="U52" s="49"/>
      <c r="V52" s="46"/>
      <c r="X52" s="248"/>
      <c r="Y52" s="248"/>
      <c r="AA52" s="24"/>
      <c r="AB52" s="249"/>
      <c r="AC52" s="248"/>
      <c r="AD52" s="248"/>
      <c r="AE52" s="259"/>
      <c r="BF52" s="46"/>
    </row>
    <row r="53" spans="1:58" ht="25" customHeight="1">
      <c r="A53" s="72"/>
      <c r="B53" s="146" t="s">
        <v>4</v>
      </c>
      <c r="C53" s="74"/>
      <c r="D53" s="153"/>
      <c r="E53" s="153"/>
      <c r="F53" s="150">
        <f>V_LINES_RND</f>
        <v>2160</v>
      </c>
      <c r="G53" s="263" t="s">
        <v>5</v>
      </c>
      <c r="H53" s="151"/>
      <c r="I53" s="153"/>
      <c r="J53" s="154"/>
      <c r="K53" s="263"/>
      <c r="L53" s="74"/>
      <c r="M53" s="76"/>
      <c r="R53" s="259"/>
      <c r="S53" s="50">
        <v>12</v>
      </c>
      <c r="T53" s="208" t="s">
        <v>294</v>
      </c>
      <c r="U53" s="49"/>
      <c r="X53" s="248"/>
      <c r="Y53" s="248"/>
      <c r="AA53" s="24"/>
      <c r="AB53" s="249"/>
      <c r="AC53" s="248"/>
      <c r="AD53" s="248"/>
      <c r="AE53" s="259"/>
      <c r="BF53" s="46"/>
    </row>
    <row r="54" spans="1:58" ht="25" customHeight="1">
      <c r="A54" s="72"/>
      <c r="B54" s="146" t="s">
        <v>6</v>
      </c>
      <c r="C54" s="74"/>
      <c r="D54" s="74"/>
      <c r="E54" s="74"/>
      <c r="F54" s="155">
        <f>ACT_H_FREQ</f>
        <v>133.36683673469389</v>
      </c>
      <c r="G54" s="263" t="s">
        <v>7</v>
      </c>
      <c r="H54" s="156"/>
      <c r="I54" s="74"/>
      <c r="J54" s="152"/>
      <c r="K54" s="117"/>
      <c r="L54" s="74"/>
      <c r="M54" s="76"/>
      <c r="R54" s="259"/>
      <c r="S54" s="50"/>
      <c r="T54" s="208" t="s">
        <v>295</v>
      </c>
      <c r="U54" s="49">
        <f>H_BACK_PORCH</f>
        <v>40</v>
      </c>
      <c r="X54" s="248"/>
      <c r="Y54" s="248"/>
      <c r="AA54" s="24"/>
      <c r="AB54" s="249"/>
      <c r="AC54" s="248"/>
      <c r="AD54" s="248"/>
      <c r="AE54" s="259"/>
      <c r="BF54" s="46"/>
    </row>
    <row r="55" spans="1:58" ht="25" customHeight="1">
      <c r="A55" s="72"/>
      <c r="B55" s="146" t="s">
        <v>51</v>
      </c>
      <c r="C55" s="74"/>
      <c r="D55" s="153"/>
      <c r="E55" s="153"/>
      <c r="F55" s="155">
        <f>ACT_FRAME_RATE</f>
        <v>60.021078638476105</v>
      </c>
      <c r="G55" s="263" t="s">
        <v>9</v>
      </c>
      <c r="H55" s="156"/>
      <c r="I55" s="153"/>
      <c r="J55" s="157"/>
      <c r="K55" s="74"/>
      <c r="L55" s="74"/>
      <c r="M55" s="76"/>
      <c r="R55" s="259"/>
      <c r="S55" s="50"/>
      <c r="U55" s="53"/>
      <c r="X55" s="248"/>
      <c r="Y55" s="248"/>
      <c r="AA55" s="24"/>
      <c r="AB55" s="249"/>
      <c r="AC55" s="248"/>
      <c r="AD55" s="248"/>
      <c r="AE55" s="259"/>
      <c r="BF55" s="46"/>
    </row>
    <row r="56" spans="1:58" ht="25" customHeight="1">
      <c r="A56" s="72"/>
      <c r="B56" s="146" t="s">
        <v>11</v>
      </c>
      <c r="C56" s="74"/>
      <c r="D56" s="74"/>
      <c r="E56" s="74"/>
      <c r="F56" s="155">
        <f>ACT_PIXEL_FREQ</f>
        <v>522.798</v>
      </c>
      <c r="G56" s="263" t="s">
        <v>12</v>
      </c>
      <c r="H56" s="156"/>
      <c r="I56" s="74"/>
      <c r="J56" s="150">
        <v>1</v>
      </c>
      <c r="K56" s="74" t="s">
        <v>3</v>
      </c>
      <c r="L56" s="74"/>
      <c r="M56" s="76"/>
      <c r="R56" s="259"/>
      <c r="S56" s="50">
        <v>13</v>
      </c>
      <c r="T56" s="259" t="s">
        <v>118</v>
      </c>
      <c r="U56" s="49"/>
      <c r="X56" s="248"/>
      <c r="Y56" s="248"/>
      <c r="AA56" s="24"/>
      <c r="AB56" s="249"/>
      <c r="AC56" s="248"/>
      <c r="AD56" s="248"/>
      <c r="AE56" s="259"/>
      <c r="BF56" s="46"/>
    </row>
    <row r="57" spans="1:58" ht="25" customHeight="1">
      <c r="A57" s="72"/>
      <c r="B57" s="146" t="s">
        <v>13</v>
      </c>
      <c r="C57" s="74"/>
      <c r="D57" s="74"/>
      <c r="E57" s="74"/>
      <c r="F57" s="155">
        <f>CELL_GRAN_RND*1000/ACT_PIXEL_FREQ</f>
        <v>15.302277361428315</v>
      </c>
      <c r="G57" s="74" t="s">
        <v>14</v>
      </c>
      <c r="H57" s="156"/>
      <c r="I57" s="74"/>
      <c r="J57" s="150">
        <f>CELL_GRAN_RND</f>
        <v>8</v>
      </c>
      <c r="K57" s="74" t="s">
        <v>3</v>
      </c>
      <c r="L57" s="74"/>
      <c r="M57" s="76"/>
      <c r="R57" s="259"/>
      <c r="S57" s="50"/>
      <c r="T57" s="259" t="str">
        <f>"Rounded up to " &amp; CLOCK_STEP &amp; "MHz ="</f>
        <v>Rounded up to 0.001MHz =</v>
      </c>
      <c r="U57" s="49">
        <f>CLOCK_STEP*ROUNDUP(((V_FIELD_RATE_RQD*RB_TOTAL_V_LINES*RB_H_TOTAL/1000000)/CLOCK_STEP),CLOCK_STEP)</f>
        <v>522.798</v>
      </c>
      <c r="X57" s="248"/>
      <c r="Y57" s="248"/>
      <c r="AB57" s="249"/>
      <c r="AC57" s="248"/>
      <c r="AD57" s="248"/>
      <c r="AE57" s="259"/>
      <c r="BF57" s="46"/>
    </row>
    <row r="58" spans="1:58" ht="25" customHeight="1">
      <c r="A58" s="72"/>
      <c r="B58" s="146" t="s">
        <v>16</v>
      </c>
      <c r="C58" s="74"/>
      <c r="D58" s="74"/>
      <c r="E58" s="74"/>
      <c r="F58" s="155" t="str">
        <f>"NON-INT"</f>
        <v>NON-INT</v>
      </c>
      <c r="G58" s="263"/>
      <c r="H58" s="158"/>
      <c r="I58" s="75"/>
      <c r="J58" s="159"/>
      <c r="K58" s="75"/>
      <c r="L58" s="74"/>
      <c r="M58" s="76"/>
      <c r="R58" s="259"/>
      <c r="S58" s="50"/>
      <c r="T58" s="259" t="str">
        <f>"Rounded down to " &amp; CLOCK_STEP &amp; "MHz ="</f>
        <v>Rounded down to 0.001MHz =</v>
      </c>
      <c r="U58" s="49">
        <f>CLOCK_STEP*ROUNDDOWN(((V_FIELD_RATE_RQD*RB_H_TOTAL*RB_TOTAL_V_LINES/1000000)/CLOCK_STEP)*IF(AND((RED_BLANK_RQD="y"),(RED_BLANK_VER=2),(VIDEO_OPT="y")),1000/1001,1),CLOCK_STEP)</f>
        <v>522.79700000000003</v>
      </c>
      <c r="X58" s="248"/>
      <c r="Y58" s="248"/>
      <c r="AB58" s="249"/>
      <c r="AC58" s="248"/>
      <c r="AD58" s="248"/>
      <c r="AE58" s="259"/>
      <c r="BF58" s="46"/>
    </row>
    <row r="59" spans="1:58" ht="25" customHeight="1">
      <c r="A59" s="72"/>
      <c r="B59" s="146" t="s">
        <v>72</v>
      </c>
      <c r="C59" s="74"/>
      <c r="D59" s="74"/>
      <c r="E59" s="74"/>
      <c r="F59" s="229" t="str">
        <f>IF(F52=CELL_GRAN_RND*INT((F53*4/3)/CELL_GRAN_RND),"4:3",
IF(F52=CELL_GRAN_RND*INT((F53*16/9)/CELL_GRAN_RND),"16:9",
IF(F52=CELL_GRAN_RND*INT((F53*16/10)/CELL_GRAN_RND),"16:10",
IF(F52=CELL_GRAN_RND*INT((F53*5/4)/CELL_GRAN_RND),"5:4",
IF(F52=CELL_GRAN_RND*INT((F53*15/9)/CELL_GRAN_RND),"15:9","Not Standard")))))</f>
        <v>16:9</v>
      </c>
      <c r="G59" s="230"/>
      <c r="H59" s="624" t="str">
        <f>IF(ASPECT_RATIO="Not Standard","WARNING! - Aspect Ratio = "&amp;H_PIXELS/GCD(H_PIXELS,V_LINES)&amp;":"&amp;V_LINES/GCD(H_PIXELS,V_LINES)&amp;".  Not a Standard Aspect Ratio","")</f>
        <v/>
      </c>
      <c r="I59" s="624"/>
      <c r="J59" s="624"/>
      <c r="K59" s="78"/>
      <c r="L59" s="74"/>
      <c r="M59" s="76"/>
      <c r="R59" s="259"/>
      <c r="S59" s="50"/>
      <c r="T59" s="259" t="s">
        <v>119</v>
      </c>
      <c r="U59" s="137">
        <f>V_FIELD_RATE_RQD*RB_TOTAL_V_LINES*RB_H_TOTAL/1000000* IF(AND((RED_BLANK_RQD="y"),(RED_BLANK_VER=2),(VIDEO_OPT="y")),1000/1001,1)</f>
        <v>522.79731504000006</v>
      </c>
      <c r="X59" s="248"/>
      <c r="Y59" s="248"/>
      <c r="AB59" s="248"/>
      <c r="AC59" s="248"/>
      <c r="AD59" s="248"/>
      <c r="AE59" s="259"/>
      <c r="BF59" s="46"/>
    </row>
    <row r="60" spans="1:58" ht="25" customHeight="1">
      <c r="A60" s="72"/>
      <c r="B60" s="146" t="s">
        <v>147</v>
      </c>
      <c r="C60" s="74"/>
      <c r="D60" s="74"/>
      <c r="E60" s="74"/>
      <c r="F60" s="160" t="str">
        <f>IF(RED_BLANK_RQD="y","POSITIVE","NEGATIVE")</f>
        <v>POSITIVE</v>
      </c>
      <c r="G60" s="161"/>
      <c r="H60" s="151"/>
      <c r="I60" s="78"/>
      <c r="J60" s="152"/>
      <c r="K60" s="78"/>
      <c r="L60" s="74"/>
      <c r="M60" s="76"/>
      <c r="R60" s="259"/>
      <c r="S60" s="50"/>
      <c r="T60" s="138" t="s">
        <v>181</v>
      </c>
      <c r="U60" s="80">
        <f>IF(RED_BLANK_VER=3,U57,U58)</f>
        <v>522.798</v>
      </c>
      <c r="X60" s="248"/>
      <c r="Y60" s="248"/>
      <c r="AB60" s="248"/>
      <c r="AC60" s="248"/>
      <c r="AD60" s="248"/>
      <c r="AE60" s="259"/>
      <c r="BF60" s="46"/>
    </row>
    <row r="61" spans="1:58" ht="25" customHeight="1">
      <c r="A61" s="72"/>
      <c r="B61" s="146" t="s">
        <v>148</v>
      </c>
      <c r="C61" s="74"/>
      <c r="D61" s="74"/>
      <c r="E61" s="74"/>
      <c r="F61" s="160" t="str">
        <f>IF(RED_BLANK_RQD="y","NEGATIVE","POSITIVE")</f>
        <v>NEGATIVE</v>
      </c>
      <c r="G61" s="161"/>
      <c r="H61" s="151"/>
      <c r="I61" s="78"/>
      <c r="J61" s="152"/>
      <c r="K61" s="78"/>
      <c r="L61" s="74"/>
      <c r="M61" s="76"/>
      <c r="R61" s="259"/>
      <c r="S61" s="50"/>
      <c r="T61" s="138"/>
      <c r="U61" s="80"/>
      <c r="X61" s="248"/>
      <c r="Y61" s="248"/>
      <c r="AB61" s="248"/>
      <c r="AC61" s="250"/>
      <c r="AD61" s="248"/>
      <c r="AE61" s="259"/>
      <c r="BF61" s="46"/>
    </row>
    <row r="62" spans="1:58" ht="25" customHeight="1">
      <c r="A62" s="72"/>
      <c r="B62" s="146" t="s">
        <v>240</v>
      </c>
      <c r="C62" s="82"/>
      <c r="D62" s="82"/>
      <c r="E62" s="82"/>
      <c r="F62" s="162"/>
      <c r="G62" s="163"/>
      <c r="H62" s="164"/>
      <c r="I62" s="82"/>
      <c r="J62" s="164"/>
      <c r="K62" s="82"/>
      <c r="L62" s="82"/>
      <c r="M62" s="83"/>
      <c r="R62" s="259"/>
      <c r="S62" s="50">
        <f>S56+1</f>
        <v>14</v>
      </c>
      <c r="T62" s="259" t="s">
        <v>120</v>
      </c>
      <c r="U62" s="49"/>
      <c r="V62" s="46"/>
      <c r="X62" s="248"/>
      <c r="Y62" s="248"/>
      <c r="AB62" s="248"/>
      <c r="AC62" s="250"/>
      <c r="AD62" s="248"/>
      <c r="AE62" s="259"/>
      <c r="BF62" s="46"/>
    </row>
    <row r="63" spans="1:58" ht="25" customHeight="1">
      <c r="A63" s="84"/>
      <c r="B63" s="165"/>
      <c r="C63" s="74"/>
      <c r="D63" s="74"/>
      <c r="E63" s="74"/>
      <c r="F63" s="166"/>
      <c r="G63" s="263"/>
      <c r="H63" s="156"/>
      <c r="I63" s="74"/>
      <c r="J63" s="152"/>
      <c r="K63" s="74"/>
      <c r="L63" s="74"/>
      <c r="M63" s="76"/>
      <c r="R63" s="259"/>
      <c r="S63" s="50"/>
      <c r="T63" s="46" t="s">
        <v>121</v>
      </c>
      <c r="U63" s="49">
        <f>1000*RB_PIXEL_FREQ/RB_H_TOTAL</f>
        <v>133.36683673469389</v>
      </c>
      <c r="V63" s="46"/>
      <c r="X63" s="248"/>
      <c r="Y63" s="248"/>
      <c r="AB63" s="248"/>
      <c r="AC63" s="248"/>
      <c r="AD63" s="248"/>
      <c r="AE63" s="259"/>
      <c r="BF63" s="46"/>
    </row>
    <row r="64" spans="1:58" ht="25" customHeight="1">
      <c r="A64" s="72"/>
      <c r="B64" s="146" t="s">
        <v>41</v>
      </c>
      <c r="C64" s="74"/>
      <c r="D64" s="74"/>
      <c r="E64" s="74"/>
      <c r="F64" s="166">
        <f>TOTAL_PIXELS/ACT_PIXEL_FREQ</f>
        <v>7.4981159070998737</v>
      </c>
      <c r="G64" s="254" t="s">
        <v>19</v>
      </c>
      <c r="H64" s="150">
        <f>TOTAL_PIXELS/CELL_GRAN_RND</f>
        <v>490</v>
      </c>
      <c r="I64" s="74" t="s">
        <v>20</v>
      </c>
      <c r="J64" s="157">
        <f>TOTAL_PIXELS</f>
        <v>3920</v>
      </c>
      <c r="K64" s="91" t="s">
        <v>3</v>
      </c>
      <c r="L64" s="167"/>
      <c r="M64" s="76"/>
      <c r="R64" s="259"/>
      <c r="S64" s="50"/>
      <c r="U64" s="53"/>
      <c r="X64" s="248"/>
      <c r="Y64" s="248"/>
      <c r="AB64" s="248"/>
      <c r="AC64" s="248"/>
      <c r="AD64" s="248"/>
      <c r="AE64" s="259"/>
      <c r="BF64" s="46"/>
    </row>
    <row r="65" spans="1:58" ht="25" customHeight="1">
      <c r="A65" s="72"/>
      <c r="B65" s="146" t="s">
        <v>42</v>
      </c>
      <c r="C65" s="74"/>
      <c r="D65" s="74"/>
      <c r="E65" s="74"/>
      <c r="F65" s="166">
        <f>H_PIXELS_RND/ACT_PIXEL_FREQ</f>
        <v>7.3450931334855909</v>
      </c>
      <c r="G65" s="254" t="s">
        <v>19</v>
      </c>
      <c r="H65" s="150">
        <f>H_PIXELS_RND/CELL_GRAN_RND</f>
        <v>480</v>
      </c>
      <c r="I65" s="74" t="s">
        <v>20</v>
      </c>
      <c r="J65" s="157">
        <f>H_PIXELS_RND</f>
        <v>3840</v>
      </c>
      <c r="K65" s="91" t="s">
        <v>3</v>
      </c>
      <c r="L65" s="167"/>
      <c r="M65" s="76"/>
      <c r="R65" s="259"/>
      <c r="S65" s="50">
        <f>S62+1</f>
        <v>15</v>
      </c>
      <c r="T65" s="46" t="s">
        <v>123</v>
      </c>
      <c r="U65" s="49"/>
      <c r="V65" s="46"/>
      <c r="X65" s="248"/>
      <c r="Y65" s="248"/>
      <c r="AB65" s="248"/>
      <c r="AC65" s="248"/>
      <c r="AD65" s="248"/>
      <c r="AE65" s="259"/>
      <c r="BF65" s="46"/>
    </row>
    <row r="66" spans="1:58" ht="25" customHeight="1">
      <c r="A66" s="86"/>
      <c r="B66" s="168"/>
      <c r="C66" s="82"/>
      <c r="D66" s="82"/>
      <c r="E66" s="82"/>
      <c r="F66" s="162"/>
      <c r="G66" s="169"/>
      <c r="H66" s="170"/>
      <c r="I66" s="82"/>
      <c r="J66" s="171"/>
      <c r="K66" s="172"/>
      <c r="L66" s="173"/>
      <c r="M66" s="83"/>
      <c r="R66" s="259"/>
      <c r="S66" s="50"/>
      <c r="T66" s="46" t="s">
        <v>134</v>
      </c>
      <c r="U66" s="49">
        <f>1000*RB_H_FREQ/RB_TOTAL_V_LINES</f>
        <v>60.021078638476105</v>
      </c>
      <c r="X66" s="248"/>
      <c r="Y66" s="248"/>
      <c r="AB66" s="248"/>
      <c r="AC66" s="248"/>
      <c r="AD66" s="248"/>
      <c r="AE66" s="259"/>
      <c r="BF66" s="46"/>
    </row>
    <row r="67" spans="1:58" ht="25" customHeight="1" thickBot="1">
      <c r="A67" s="84"/>
      <c r="B67" s="174"/>
      <c r="C67" s="87"/>
      <c r="D67" s="87"/>
      <c r="E67" s="87"/>
      <c r="F67" s="175"/>
      <c r="G67" s="176"/>
      <c r="H67" s="177"/>
      <c r="I67" s="87"/>
      <c r="J67" s="178"/>
      <c r="K67" s="179"/>
      <c r="L67" s="180"/>
      <c r="M67" s="88"/>
      <c r="R67" s="259"/>
      <c r="S67" s="51"/>
      <c r="T67" s="261"/>
      <c r="U67" s="85"/>
      <c r="V67" s="46"/>
      <c r="X67" s="248"/>
      <c r="Y67" s="248"/>
      <c r="AB67" s="252"/>
      <c r="AC67" s="248"/>
      <c r="AD67" s="251"/>
      <c r="AE67" s="259"/>
      <c r="BF67" s="46"/>
    </row>
    <row r="68" spans="1:58" ht="25" customHeight="1" thickBot="1">
      <c r="A68" s="72"/>
      <c r="B68" s="146" t="s">
        <v>43</v>
      </c>
      <c r="C68" s="74"/>
      <c r="D68" s="74"/>
      <c r="E68" s="74"/>
      <c r="F68" s="166">
        <f>H_BLANK/ACT_PIXEL_FREQ</f>
        <v>0.15302277361428315</v>
      </c>
      <c r="G68" s="254" t="s">
        <v>19</v>
      </c>
      <c r="H68" s="150">
        <f>H_BLANK/CELL_GRAN_RND</f>
        <v>10</v>
      </c>
      <c r="I68" s="74" t="s">
        <v>20</v>
      </c>
      <c r="J68" s="157">
        <f>H_BLANK</f>
        <v>80</v>
      </c>
      <c r="K68" s="91" t="s">
        <v>3</v>
      </c>
      <c r="L68" s="167"/>
      <c r="M68" s="76"/>
      <c r="R68" s="259"/>
      <c r="S68" s="23"/>
      <c r="V68" s="46"/>
      <c r="X68" s="248"/>
      <c r="Y68" s="248"/>
      <c r="AB68" s="252"/>
      <c r="AC68" s="248"/>
      <c r="AD68" s="251"/>
      <c r="AE68" s="259"/>
      <c r="BF68" s="46"/>
    </row>
    <row r="69" spans="1:58" ht="25" customHeight="1">
      <c r="A69" s="72"/>
      <c r="B69" s="146" t="s">
        <v>43</v>
      </c>
      <c r="C69" s="74"/>
      <c r="D69" s="74"/>
      <c r="E69" s="74"/>
      <c r="F69" s="166">
        <f>(H_BLANK)/ACT_PIXEL_FREQ</f>
        <v>0.15302277361428315</v>
      </c>
      <c r="G69" s="254" t="s">
        <v>19</v>
      </c>
      <c r="H69" s="150">
        <f>(H_BLANK)/CELL_GRAN_RND</f>
        <v>10</v>
      </c>
      <c r="I69" s="74" t="s">
        <v>20</v>
      </c>
      <c r="J69" s="157">
        <f>H_BLANK</f>
        <v>80</v>
      </c>
      <c r="K69" s="91" t="s">
        <v>3</v>
      </c>
      <c r="L69" s="167"/>
      <c r="M69" s="76"/>
      <c r="R69" s="259"/>
      <c r="S69" s="41" t="s">
        <v>54</v>
      </c>
      <c r="T69" s="44"/>
      <c r="U69" s="43"/>
      <c r="V69" s="46"/>
      <c r="X69" s="248"/>
      <c r="Y69" s="248"/>
      <c r="AB69" s="252"/>
      <c r="AC69" s="248"/>
      <c r="AD69" s="248"/>
      <c r="AE69" s="259"/>
      <c r="BF69" s="46"/>
    </row>
    <row r="70" spans="1:58" ht="24.75" customHeight="1">
      <c r="A70" s="72"/>
      <c r="B70" s="146" t="s">
        <v>21</v>
      </c>
      <c r="C70" s="74"/>
      <c r="D70" s="74"/>
      <c r="E70" s="74"/>
      <c r="F70" s="166">
        <f>H_BLANK/TOTAL_PIXELS*100</f>
        <v>2.0408163265306123</v>
      </c>
      <c r="G70" s="254" t="s">
        <v>18</v>
      </c>
      <c r="H70" s="157"/>
      <c r="I70" s="91"/>
      <c r="J70" s="152"/>
      <c r="K70" s="74"/>
      <c r="L70" s="74"/>
      <c r="M70" s="76"/>
      <c r="R70" s="259"/>
      <c r="S70" s="241"/>
      <c r="T70" s="259" t="s">
        <v>109</v>
      </c>
      <c r="U70" s="49">
        <f>K105</f>
        <v>460</v>
      </c>
      <c r="V70" s="46"/>
      <c r="X70" s="248"/>
      <c r="Y70" s="248"/>
      <c r="AB70" s="252"/>
      <c r="AC70" s="248"/>
      <c r="AD70" s="248"/>
      <c r="AE70" s="259"/>
      <c r="BF70" s="46"/>
    </row>
    <row r="71" spans="1:58" ht="25" customHeight="1">
      <c r="A71" s="72"/>
      <c r="B71" s="146" t="s">
        <v>24</v>
      </c>
      <c r="C71" s="74"/>
      <c r="D71" s="74"/>
      <c r="E71" s="74"/>
      <c r="F71" s="166">
        <f>H_FRONT_PORCH/ACT_PIXEL_FREQ</f>
        <v>1.5302277361428314E-2</v>
      </c>
      <c r="G71" s="254" t="s">
        <v>19</v>
      </c>
      <c r="H71" s="150">
        <f>H_FRONT_PORCH/CELL_GRAN_RND</f>
        <v>1</v>
      </c>
      <c r="I71" s="74" t="s">
        <v>20</v>
      </c>
      <c r="J71" s="157">
        <f>H_FRONT_PORCH</f>
        <v>8</v>
      </c>
      <c r="K71" s="91" t="s">
        <v>3</v>
      </c>
      <c r="L71" s="91"/>
      <c r="M71" s="76"/>
      <c r="R71" s="259"/>
      <c r="S71" s="241"/>
      <c r="T71" s="242" t="s">
        <v>255</v>
      </c>
      <c r="U71" s="53">
        <f>RB_V3_ADD_V_BLANK</f>
        <v>0</v>
      </c>
      <c r="X71" s="248"/>
      <c r="Y71" s="248"/>
      <c r="AB71" s="252"/>
      <c r="AC71" s="248"/>
      <c r="AD71" s="248"/>
      <c r="AE71" s="259"/>
      <c r="BF71" s="46"/>
    </row>
    <row r="72" spans="1:58" ht="25" customHeight="1">
      <c r="A72" s="72"/>
      <c r="B72" s="146" t="s">
        <v>45</v>
      </c>
      <c r="C72" s="74"/>
      <c r="D72" s="74"/>
      <c r="E72" s="74"/>
      <c r="F72" s="166">
        <f>H_SYNC_RND/ACT_PIXEL_FREQ</f>
        <v>6.1209109445713256E-2</v>
      </c>
      <c r="G72" s="254" t="s">
        <v>19</v>
      </c>
      <c r="H72" s="150">
        <f>H_SYNC_RND/CELL_GRAN_RND</f>
        <v>4</v>
      </c>
      <c r="I72" s="74" t="s">
        <v>20</v>
      </c>
      <c r="J72" s="157">
        <f>H_SYNC_RND</f>
        <v>32</v>
      </c>
      <c r="K72" s="91" t="s">
        <v>3</v>
      </c>
      <c r="L72" s="91"/>
      <c r="M72" s="76"/>
      <c r="R72" s="259"/>
      <c r="S72" s="50"/>
      <c r="T72" s="138" t="s">
        <v>256</v>
      </c>
      <c r="U72" s="49">
        <f>K105 + RB_V3_ADD_V_BLANK</f>
        <v>460</v>
      </c>
      <c r="X72" s="248"/>
      <c r="Y72" s="248"/>
      <c r="AB72" s="252"/>
      <c r="AC72" s="252"/>
      <c r="AD72" s="248"/>
      <c r="AE72" s="259"/>
      <c r="BF72" s="46"/>
    </row>
    <row r="73" spans="1:58" ht="25" customHeight="1">
      <c r="A73" s="72"/>
      <c r="B73" s="146" t="s">
        <v>25</v>
      </c>
      <c r="C73" s="74"/>
      <c r="D73" s="74"/>
      <c r="E73" s="74"/>
      <c r="F73" s="166">
        <f>H_BACK_PORCH/ACT_PIXEL_FREQ</f>
        <v>7.6511386807141576E-2</v>
      </c>
      <c r="G73" s="254" t="s">
        <v>19</v>
      </c>
      <c r="H73" s="150">
        <f>H_BACK_PORCH/CELL_GRAN_RND</f>
        <v>5</v>
      </c>
      <c r="I73" s="74" t="s">
        <v>20</v>
      </c>
      <c r="J73" s="157">
        <f>H_BACK_PORCH</f>
        <v>40</v>
      </c>
      <c r="K73" s="91" t="s">
        <v>3</v>
      </c>
      <c r="L73" s="91"/>
      <c r="M73" s="76"/>
      <c r="R73" s="259"/>
      <c r="S73" s="50"/>
      <c r="T73" s="46" t="s">
        <v>110</v>
      </c>
      <c r="U73" s="49">
        <f>K103</f>
        <v>32</v>
      </c>
      <c r="X73" s="248"/>
      <c r="Y73" s="248"/>
      <c r="AB73" s="252"/>
      <c r="AC73" s="252"/>
      <c r="AD73" s="248"/>
      <c r="AE73" s="259"/>
      <c r="BF73" s="46"/>
    </row>
    <row r="74" spans="1:58" ht="25" customHeight="1" thickBot="1">
      <c r="A74" s="86"/>
      <c r="B74" s="168"/>
      <c r="C74" s="82"/>
      <c r="D74" s="82"/>
      <c r="E74" s="82"/>
      <c r="F74" s="162"/>
      <c r="G74" s="169"/>
      <c r="H74" s="171"/>
      <c r="I74" s="172"/>
      <c r="J74" s="181"/>
      <c r="K74" s="82"/>
      <c r="L74" s="82"/>
      <c r="M74" s="83"/>
      <c r="R74" s="259"/>
      <c r="S74" s="51"/>
      <c r="T74" s="261" t="s">
        <v>111</v>
      </c>
      <c r="U74" s="52">
        <f>K98 + IF(AND((RED_BLANK_RQD="y"),(RED_BLANK_VER=3)), Additional_HBlank, 0)</f>
        <v>80</v>
      </c>
      <c r="V74" s="46"/>
      <c r="X74" s="248"/>
      <c r="Y74" s="248"/>
      <c r="AB74" s="252"/>
      <c r="AC74" s="253"/>
      <c r="AD74" s="252"/>
      <c r="AE74" s="259"/>
      <c r="BF74" s="46"/>
    </row>
    <row r="75" spans="1:58" ht="25" customHeight="1">
      <c r="A75" s="72"/>
      <c r="B75" s="146"/>
      <c r="C75" s="74"/>
      <c r="D75" s="74"/>
      <c r="E75" s="74"/>
      <c r="F75" s="182"/>
      <c r="G75" s="183"/>
      <c r="H75" s="184"/>
      <c r="I75" s="183"/>
      <c r="J75" s="182"/>
      <c r="K75" s="92"/>
      <c r="L75" s="185"/>
      <c r="M75" s="93"/>
      <c r="R75" s="259"/>
      <c r="S75" s="23"/>
      <c r="V75" s="46"/>
      <c r="X75" s="248"/>
      <c r="Y75" s="248"/>
      <c r="AB75" s="252"/>
      <c r="AC75" s="248"/>
      <c r="AD75" s="252"/>
      <c r="AE75" s="259"/>
    </row>
    <row r="76" spans="1:58" ht="25" customHeight="1">
      <c r="A76" s="72"/>
      <c r="B76" s="146" t="s">
        <v>46</v>
      </c>
      <c r="C76" s="74"/>
      <c r="D76" s="74"/>
      <c r="E76" s="74"/>
      <c r="F76" s="166">
        <f>TOTAL_V_LINES/ACT_H_FREQ</f>
        <v>16.66081354557592</v>
      </c>
      <c r="G76" s="254" t="s">
        <v>27</v>
      </c>
      <c r="H76" s="186"/>
      <c r="I76" s="254"/>
      <c r="J76" s="187">
        <f>TOTAL_V_LINES</f>
        <v>2222</v>
      </c>
      <c r="K76" s="188" t="s">
        <v>5</v>
      </c>
      <c r="L76" s="187"/>
      <c r="M76" s="189"/>
      <c r="R76" s="259"/>
      <c r="S76" s="23"/>
      <c r="V76" s="46"/>
      <c r="X76" s="248"/>
      <c r="Y76" s="248"/>
      <c r="AB76" s="252"/>
      <c r="AC76" s="252"/>
      <c r="AD76" s="252"/>
      <c r="AE76" s="259"/>
    </row>
    <row r="77" spans="1:58" ht="25" customHeight="1">
      <c r="A77" s="72"/>
      <c r="B77" s="146" t="s">
        <v>47</v>
      </c>
      <c r="C77" s="74"/>
      <c r="D77" s="74"/>
      <c r="E77" s="74"/>
      <c r="F77" s="166">
        <f>V_LINES_RND/ACT_H_FREQ</f>
        <v>16.195930359335726</v>
      </c>
      <c r="G77" s="254" t="s">
        <v>27</v>
      </c>
      <c r="H77" s="186"/>
      <c r="I77" s="254"/>
      <c r="J77" s="187">
        <f>V_LINES_RND</f>
        <v>2160</v>
      </c>
      <c r="K77" s="188" t="s">
        <v>5</v>
      </c>
      <c r="L77" s="187"/>
      <c r="M77" s="189"/>
      <c r="R77" s="259"/>
      <c r="S77" s="23"/>
      <c r="V77" s="46"/>
      <c r="AB77" s="248"/>
      <c r="AC77" s="252"/>
      <c r="AD77" s="252"/>
      <c r="AE77" s="259"/>
    </row>
    <row r="78" spans="1:58" ht="25" customHeight="1">
      <c r="A78" s="86"/>
      <c r="B78" s="168"/>
      <c r="C78" s="82"/>
      <c r="D78" s="82"/>
      <c r="E78" s="82"/>
      <c r="F78" s="162"/>
      <c r="G78" s="169"/>
      <c r="H78" s="190"/>
      <c r="I78" s="169"/>
      <c r="J78" s="191"/>
      <c r="K78" s="192"/>
      <c r="L78" s="191"/>
      <c r="M78" s="193"/>
      <c r="R78" s="259"/>
      <c r="S78" s="23"/>
      <c r="AB78" s="248"/>
      <c r="AC78" s="248"/>
      <c r="AD78" s="252"/>
      <c r="AE78" s="259"/>
    </row>
    <row r="79" spans="1:58" ht="25" customHeight="1">
      <c r="A79" s="84"/>
      <c r="B79" s="174"/>
      <c r="C79" s="87"/>
      <c r="D79" s="87"/>
      <c r="E79" s="87"/>
      <c r="F79" s="194"/>
      <c r="G79" s="195"/>
      <c r="H79" s="196"/>
      <c r="I79" s="195"/>
      <c r="J79" s="197"/>
      <c r="K79" s="95"/>
      <c r="L79" s="197"/>
      <c r="M79" s="96"/>
      <c r="R79" s="259"/>
      <c r="S79" s="23"/>
      <c r="AB79" s="248"/>
      <c r="AC79" s="248"/>
      <c r="AD79" s="248"/>
      <c r="AE79" s="259"/>
    </row>
    <row r="80" spans="1:58" ht="25" customHeight="1">
      <c r="A80" s="72"/>
      <c r="B80" s="146" t="s">
        <v>48</v>
      </c>
      <c r="C80" s="74"/>
      <c r="D80" s="74"/>
      <c r="E80" s="74"/>
      <c r="F80" s="166">
        <f>V_BLANK/ACT_H_FREQ</f>
        <v>0.46488318624019215</v>
      </c>
      <c r="G80" s="254" t="s">
        <v>27</v>
      </c>
      <c r="H80" s="166"/>
      <c r="I80" s="254"/>
      <c r="J80" s="187">
        <f>V_BLANK</f>
        <v>62</v>
      </c>
      <c r="K80" s="188" t="s">
        <v>5</v>
      </c>
      <c r="L80" s="187"/>
      <c r="M80" s="189"/>
      <c r="R80" s="259"/>
      <c r="S80" s="23"/>
      <c r="AB80" s="248"/>
      <c r="AC80" s="248"/>
      <c r="AD80" s="248"/>
      <c r="AE80" s="259"/>
    </row>
    <row r="81" spans="1:31" ht="25" customHeight="1">
      <c r="A81" s="72"/>
      <c r="B81" s="146" t="s">
        <v>29</v>
      </c>
      <c r="C81" s="74"/>
      <c r="D81" s="74"/>
      <c r="E81" s="74"/>
      <c r="F81" s="166">
        <f>1000*(V_FRONT_PORCH)/ACT_H_FREQ</f>
        <v>359.9095635407939</v>
      </c>
      <c r="G81" s="254" t="s">
        <v>19</v>
      </c>
      <c r="H81" s="186"/>
      <c r="I81" s="254"/>
      <c r="J81" s="187">
        <f>V_FRONT_PORCH</f>
        <v>48</v>
      </c>
      <c r="K81" s="188" t="s">
        <v>5</v>
      </c>
      <c r="L81" s="187"/>
      <c r="M81" s="189"/>
      <c r="P81" s="77"/>
      <c r="Q81" s="89"/>
      <c r="R81" s="259"/>
      <c r="S81" s="23"/>
      <c r="AB81" s="248"/>
      <c r="AC81" s="248"/>
      <c r="AD81" s="248"/>
      <c r="AE81" s="259"/>
    </row>
    <row r="82" spans="1:31" ht="25" customHeight="1">
      <c r="A82" s="72"/>
      <c r="B82" s="146" t="s">
        <v>49</v>
      </c>
      <c r="C82" s="74"/>
      <c r="D82" s="74"/>
      <c r="E82" s="74"/>
      <c r="F82" s="166">
        <f>1000*V_SYNC_RND/ACT_H_FREQ</f>
        <v>59.98492725679899</v>
      </c>
      <c r="G82" s="254" t="s">
        <v>19</v>
      </c>
      <c r="H82" s="166"/>
      <c r="I82" s="254"/>
      <c r="J82" s="187">
        <f>V_SYNC_RND</f>
        <v>8</v>
      </c>
      <c r="K82" s="188" t="s">
        <v>5</v>
      </c>
      <c r="L82" s="187"/>
      <c r="M82" s="189"/>
      <c r="P82" s="77"/>
      <c r="Q82" s="89"/>
      <c r="R82" s="259"/>
      <c r="S82" s="23"/>
      <c r="AB82" s="248"/>
      <c r="AC82" s="248"/>
      <c r="AD82" s="248"/>
      <c r="AE82" s="259"/>
    </row>
    <row r="83" spans="1:31" ht="25" customHeight="1">
      <c r="A83" s="72"/>
      <c r="B83" s="146" t="s">
        <v>30</v>
      </c>
      <c r="C83" s="74"/>
      <c r="D83" s="74"/>
      <c r="E83" s="74"/>
      <c r="F83" s="166">
        <f>1000*V_BACK_PORCH/ACT_H_FREQ</f>
        <v>44.988695442599237</v>
      </c>
      <c r="G83" s="254" t="s">
        <v>19</v>
      </c>
      <c r="H83" s="186"/>
      <c r="I83" s="254"/>
      <c r="J83" s="187">
        <f>V_BACK_PORCH</f>
        <v>6</v>
      </c>
      <c r="K83" s="188" t="s">
        <v>5</v>
      </c>
      <c r="L83" s="187"/>
      <c r="M83" s="189"/>
      <c r="P83" s="77"/>
      <c r="Q83" s="89"/>
      <c r="R83" s="259"/>
      <c r="S83" s="23"/>
      <c r="AB83" s="248"/>
      <c r="AC83" s="248"/>
      <c r="AD83" s="248"/>
      <c r="AE83" s="259"/>
    </row>
    <row r="84" spans="1:31" ht="25" customHeight="1" thickBot="1">
      <c r="A84" s="198"/>
      <c r="B84" s="199"/>
      <c r="C84" s="97" t="str">
        <f>IF(B62="","","NOTE: ANY RESULT IN RED PARENTHESIS INDICATES AN ERROR: SOLUTION NOT POSSIBLE WITH GIVEN INPUTS REQUIREMENTS")</f>
        <v>NOTE: ANY RESULT IN RED PARENTHESIS INDICATES AN ERROR: SOLUTION NOT POSSIBLE WITH GIVEN INPUTS REQUIREMENTS</v>
      </c>
      <c r="D84" s="98"/>
      <c r="E84" s="98"/>
      <c r="F84" s="200"/>
      <c r="G84" s="201"/>
      <c r="H84" s="98"/>
      <c r="I84" s="98"/>
      <c r="J84" s="202"/>
      <c r="K84" s="98"/>
      <c r="L84" s="98"/>
      <c r="M84" s="99"/>
      <c r="P84" s="77"/>
      <c r="Q84" s="89"/>
      <c r="R84" s="259"/>
      <c r="S84" s="23"/>
      <c r="AB84" s="248"/>
      <c r="AC84" s="248"/>
      <c r="AD84" s="248"/>
      <c r="AE84" s="259"/>
    </row>
    <row r="85" spans="1:31" ht="25" customHeight="1" thickTop="1">
      <c r="A85" s="33"/>
      <c r="B85" s="100"/>
      <c r="F85" s="18"/>
      <c r="G85" s="101"/>
      <c r="H85" s="102"/>
      <c r="I85" s="102"/>
      <c r="J85" s="103"/>
      <c r="K85" s="27"/>
      <c r="L85" s="27"/>
      <c r="M85" s="27"/>
      <c r="P85" s="77"/>
      <c r="Q85" s="89"/>
      <c r="R85" s="259"/>
      <c r="S85" s="23"/>
      <c r="AB85" s="248"/>
      <c r="AC85" s="248"/>
      <c r="AD85" s="248"/>
      <c r="AE85" s="259"/>
    </row>
    <row r="86" spans="1:31" ht="25" customHeight="1" thickBot="1">
      <c r="A86" s="33"/>
      <c r="G86" s="46"/>
      <c r="P86" s="77"/>
      <c r="Q86" s="89"/>
      <c r="R86" s="259"/>
      <c r="S86" s="23"/>
      <c r="AD86" s="248"/>
      <c r="AE86" s="259"/>
    </row>
    <row r="87" spans="1:31" ht="25" customHeight="1" thickTop="1">
      <c r="A87" s="27"/>
      <c r="B87" s="105"/>
      <c r="C87" s="37"/>
      <c r="D87" s="37"/>
      <c r="E87" s="37"/>
      <c r="F87" s="106"/>
      <c r="G87" s="37"/>
      <c r="H87" s="37"/>
      <c r="I87" s="37"/>
      <c r="J87" s="107"/>
      <c r="K87" s="107"/>
      <c r="L87" s="37"/>
      <c r="M87" s="108"/>
      <c r="P87" s="77"/>
      <c r="Q87" s="89"/>
      <c r="R87" s="259"/>
      <c r="S87" s="23"/>
      <c r="AD87" s="248"/>
      <c r="AE87" s="259"/>
    </row>
    <row r="88" spans="1:31" ht="25" customHeight="1">
      <c r="A88" s="27"/>
      <c r="B88" s="209" t="s">
        <v>249</v>
      </c>
      <c r="C88" s="25"/>
      <c r="D88" s="25"/>
      <c r="E88" s="25"/>
      <c r="F88" s="227"/>
      <c r="G88" s="228"/>
      <c r="H88" s="228"/>
      <c r="I88" s="228"/>
      <c r="J88" s="228"/>
      <c r="K88" s="25"/>
      <c r="L88" s="25"/>
      <c r="M88" s="109"/>
      <c r="P88" s="77"/>
      <c r="Q88" s="89"/>
      <c r="R88" s="259"/>
      <c r="S88" s="23"/>
      <c r="AE88" s="259"/>
    </row>
    <row r="89" spans="1:31" ht="25" customHeight="1">
      <c r="A89" s="27"/>
      <c r="B89" s="110"/>
      <c r="C89" s="27"/>
      <c r="D89" s="27"/>
      <c r="E89" s="27"/>
      <c r="F89" s="111"/>
      <c r="G89" s="27"/>
      <c r="H89" s="27"/>
      <c r="I89" s="27"/>
      <c r="J89" s="112"/>
      <c r="K89" s="112"/>
      <c r="L89" s="27"/>
      <c r="M89" s="113"/>
      <c r="P89" s="77"/>
      <c r="Q89" s="89"/>
      <c r="R89" s="46"/>
      <c r="S89" s="23"/>
      <c r="AE89" s="259"/>
    </row>
    <row r="90" spans="1:31" ht="25" customHeight="1">
      <c r="A90" s="27"/>
      <c r="B90" s="210" t="s">
        <v>74</v>
      </c>
      <c r="C90" s="27"/>
      <c r="D90" s="27"/>
      <c r="E90" s="27"/>
      <c r="F90" s="111"/>
      <c r="G90" s="27"/>
      <c r="H90" s="27"/>
      <c r="I90" s="27"/>
      <c r="J90" s="112"/>
      <c r="K90" s="112"/>
      <c r="L90" s="27"/>
      <c r="M90" s="113"/>
      <c r="P90" s="77"/>
      <c r="Q90" s="89"/>
      <c r="R90" s="46"/>
      <c r="S90" s="23"/>
      <c r="AE90" s="259"/>
    </row>
    <row r="91" spans="1:31" ht="25" customHeight="1" thickBot="1">
      <c r="A91" s="27"/>
      <c r="B91" s="114"/>
      <c r="C91" s="27"/>
      <c r="D91" s="27"/>
      <c r="E91" s="27"/>
      <c r="F91" s="27"/>
      <c r="G91" s="27"/>
      <c r="H91" s="27"/>
      <c r="I91" s="27"/>
      <c r="J91" s="112"/>
      <c r="K91" s="115"/>
      <c r="L91" s="115"/>
      <c r="M91" s="573" t="str">
        <f>_xlfn.TEXTJOIN(" , ",TRUE,M92:M123)</f>
        <v/>
      </c>
      <c r="P91" s="77"/>
      <c r="Q91" s="89"/>
      <c r="R91" s="46"/>
      <c r="S91" s="23"/>
      <c r="AE91" s="259"/>
    </row>
    <row r="92" spans="1:31" ht="25" customHeight="1" thickTop="1" thickBot="1">
      <c r="A92" s="27"/>
      <c r="B92" s="114"/>
      <c r="C92" s="27"/>
      <c r="D92" s="625" t="s">
        <v>213</v>
      </c>
      <c r="E92" s="625"/>
      <c r="F92" s="625"/>
      <c r="G92" s="625"/>
      <c r="H92" s="625"/>
      <c r="I92" s="625"/>
      <c r="J92" s="223" t="s">
        <v>211</v>
      </c>
      <c r="K92" s="207">
        <f>IF(AND((RED_BLANK_RQD="y"),(RED_BLANK_VER=2)),K94,K93)</f>
        <v>8</v>
      </c>
      <c r="L92" s="570" t="s">
        <v>186</v>
      </c>
      <c r="M92" s="571" t="str">
        <f>IF(AND(K92&lt;&gt;8,K92&lt;&gt;1),"WARNING: Required CELL_GRAN value is 8 or 1","")</f>
        <v/>
      </c>
      <c r="P92" s="77"/>
      <c r="Q92" s="89"/>
      <c r="R92" s="46"/>
      <c r="S92" s="23"/>
      <c r="AE92" s="259"/>
    </row>
    <row r="93" spans="1:31" ht="25" customHeight="1" thickTop="1" thickBot="1">
      <c r="A93" s="27"/>
      <c r="B93" s="114"/>
      <c r="C93" s="27"/>
      <c r="D93" s="626" t="s">
        <v>284</v>
      </c>
      <c r="E93" s="626"/>
      <c r="F93" s="626"/>
      <c r="G93" s="626"/>
      <c r="H93" s="626"/>
      <c r="I93" s="626"/>
      <c r="J93" s="226" t="s">
        <v>195</v>
      </c>
      <c r="K93" s="207">
        <v>8</v>
      </c>
      <c r="L93" s="570"/>
      <c r="M93" s="571" t="str">
        <f>IF(K93&lt;&gt;8,"WARNING: Required CELL_GRAN value is 8","")</f>
        <v/>
      </c>
      <c r="P93" s="77"/>
      <c r="Q93" s="89"/>
      <c r="R93" s="46"/>
      <c r="S93" s="23"/>
      <c r="AE93" s="259"/>
    </row>
    <row r="94" spans="1:31" ht="22" thickTop="1" thickBot="1">
      <c r="A94" s="27"/>
      <c r="B94" s="114"/>
      <c r="C94" s="27"/>
      <c r="D94" s="626" t="s">
        <v>196</v>
      </c>
      <c r="E94" s="626"/>
      <c r="F94" s="626"/>
      <c r="G94" s="626"/>
      <c r="H94" s="626"/>
      <c r="I94" s="626"/>
      <c r="J94" s="226" t="s">
        <v>197</v>
      </c>
      <c r="K94" s="207">
        <v>1</v>
      </c>
      <c r="L94" s="570"/>
      <c r="M94" s="571" t="str">
        <f>IF(K94&lt;&gt;1,"WARNING: Required CELL GRAN value is 1","")</f>
        <v/>
      </c>
      <c r="N94" s="46"/>
      <c r="P94" s="77"/>
      <c r="Q94" s="89"/>
      <c r="R94" s="46"/>
      <c r="S94" s="23"/>
      <c r="AE94" s="259"/>
    </row>
    <row r="95" spans="1:31" ht="22" thickTop="1" thickBot="1">
      <c r="A95" s="27"/>
      <c r="B95" s="114"/>
      <c r="C95" s="27"/>
      <c r="D95" s="266"/>
      <c r="E95" s="266"/>
      <c r="F95" s="266"/>
      <c r="G95" s="266"/>
      <c r="H95" s="266"/>
      <c r="I95" s="266"/>
      <c r="J95" s="280"/>
      <c r="K95" s="281"/>
      <c r="L95" s="138"/>
      <c r="M95" s="572"/>
      <c r="N95" s="46"/>
      <c r="R95" s="46"/>
      <c r="S95" s="23"/>
      <c r="AE95" s="259"/>
    </row>
    <row r="96" spans="1:31" ht="25" customHeight="1" thickTop="1" thickBot="1">
      <c r="A96" s="27"/>
      <c r="B96" s="114"/>
      <c r="C96" s="27"/>
      <c r="D96" s="627" t="s">
        <v>190</v>
      </c>
      <c r="E96" s="627"/>
      <c r="F96" s="627"/>
      <c r="G96" s="627"/>
      <c r="H96" s="627"/>
      <c r="I96" s="627"/>
      <c r="J96" s="223" t="s">
        <v>286</v>
      </c>
      <c r="K96" s="225">
        <v>8</v>
      </c>
      <c r="L96" s="570" t="s">
        <v>187</v>
      </c>
      <c r="M96" s="571" t="str">
        <f>IF(K96&lt;&gt;8,"WARNING: Required V_SYNC value is 8","")</f>
        <v/>
      </c>
      <c r="N96" s="46"/>
      <c r="R96" s="46"/>
      <c r="S96" s="23"/>
      <c r="AE96" s="259"/>
    </row>
    <row r="97" spans="1:31" ht="25" customHeight="1" thickTop="1" thickBot="1">
      <c r="A97" s="27"/>
      <c r="B97" s="114"/>
      <c r="C97" s="27"/>
      <c r="D97" s="264"/>
      <c r="E97" s="264"/>
      <c r="F97" s="264"/>
      <c r="G97" s="264"/>
      <c r="H97" s="264"/>
      <c r="I97" s="264"/>
      <c r="J97" s="267"/>
      <c r="K97" s="268"/>
      <c r="L97" s="224"/>
      <c r="M97" s="573"/>
      <c r="N97" s="46"/>
      <c r="R97" s="46"/>
      <c r="S97" s="23"/>
      <c r="AE97" s="259"/>
    </row>
    <row r="98" spans="1:31" ht="22" thickTop="1" thickBot="1">
      <c r="A98" s="27"/>
      <c r="B98" s="114"/>
      <c r="C98" s="27"/>
      <c r="D98" s="619" t="s">
        <v>168</v>
      </c>
      <c r="E98" s="619"/>
      <c r="F98" s="619"/>
      <c r="G98" s="619"/>
      <c r="H98" s="619"/>
      <c r="I98" s="619"/>
      <c r="J98" s="223" t="s">
        <v>211</v>
      </c>
      <c r="K98" s="204">
        <f>K99</f>
        <v>80</v>
      </c>
      <c r="L98" s="570" t="s">
        <v>297</v>
      </c>
      <c r="M98" s="571" t="str">
        <f>IF(K98&lt;&gt;80,"WARNING: Required minimum HBLANK value is 80","")</f>
        <v/>
      </c>
      <c r="N98" s="46"/>
      <c r="O98" s="259"/>
      <c r="P98" s="259"/>
      <c r="Q98" s="259"/>
      <c r="R98" s="46"/>
      <c r="S98" s="23"/>
      <c r="AE98" s="259"/>
    </row>
    <row r="99" spans="1:31" ht="25" customHeight="1" thickTop="1" thickBot="1">
      <c r="A99" s="27"/>
      <c r="B99" s="114"/>
      <c r="C99" s="27"/>
      <c r="D99" s="628" t="s">
        <v>282</v>
      </c>
      <c r="E99" s="628"/>
      <c r="F99" s="628"/>
      <c r="G99" s="628"/>
      <c r="H99" s="628"/>
      <c r="I99" s="628"/>
      <c r="J99" s="222" t="s">
        <v>215</v>
      </c>
      <c r="K99" s="270">
        <v>80</v>
      </c>
      <c r="L99" s="154"/>
      <c r="M99" s="572" t="str">
        <f>IF(K99&lt;&gt;80,"WARNING: Required minimum HBLANK value is 80","")</f>
        <v/>
      </c>
      <c r="N99" s="46"/>
      <c r="P99" s="259"/>
      <c r="Q99" s="259"/>
      <c r="R99" s="46"/>
      <c r="S99" s="23"/>
      <c r="AE99" s="259"/>
    </row>
    <row r="100" spans="1:31" ht="25" customHeight="1" thickTop="1">
      <c r="A100" s="27"/>
      <c r="B100" s="114"/>
      <c r="C100" s="27"/>
      <c r="D100" s="628"/>
      <c r="E100" s="628"/>
      <c r="F100" s="628"/>
      <c r="G100" s="628"/>
      <c r="H100" s="628"/>
      <c r="I100" s="628"/>
      <c r="J100" s="269"/>
      <c r="K100" s="272"/>
      <c r="L100" s="154"/>
      <c r="M100" s="572"/>
      <c r="N100" s="46"/>
      <c r="P100" s="259"/>
      <c r="Q100" s="259"/>
      <c r="R100" s="46"/>
      <c r="S100" s="23"/>
      <c r="AE100" s="259"/>
    </row>
    <row r="101" spans="1:31" ht="25" customHeight="1" thickBot="1">
      <c r="A101" s="27"/>
      <c r="B101" s="114"/>
      <c r="C101" s="27"/>
      <c r="D101" s="265"/>
      <c r="E101" s="265"/>
      <c r="F101" s="265"/>
      <c r="G101" s="265"/>
      <c r="H101" s="265"/>
      <c r="I101" s="265"/>
      <c r="J101" s="269"/>
      <c r="K101" s="271"/>
      <c r="L101" s="154"/>
      <c r="M101" s="572"/>
      <c r="N101" s="46"/>
      <c r="P101" s="259"/>
      <c r="Q101" s="259"/>
      <c r="R101" s="46"/>
      <c r="S101" s="23"/>
      <c r="AE101" s="259"/>
    </row>
    <row r="102" spans="1:31" ht="25" customHeight="1" thickTop="1" thickBot="1">
      <c r="A102" s="27"/>
      <c r="B102" s="114"/>
      <c r="C102" s="27"/>
      <c r="D102" s="619" t="s">
        <v>184</v>
      </c>
      <c r="E102" s="619"/>
      <c r="F102" s="619"/>
      <c r="G102" s="619"/>
      <c r="H102" s="619"/>
      <c r="I102" s="619"/>
      <c r="J102" s="223" t="s">
        <v>193</v>
      </c>
      <c r="K102" s="204">
        <v>8</v>
      </c>
      <c r="L102" s="570" t="s">
        <v>296</v>
      </c>
      <c r="M102" s="571" t="str">
        <f>IF(K102&lt;&gt;8,"WARNING: Required H_FRONT_PORCH value is 8","")</f>
        <v/>
      </c>
      <c r="N102" s="46"/>
      <c r="R102" s="46"/>
      <c r="S102" s="23"/>
      <c r="AE102" s="259"/>
    </row>
    <row r="103" spans="1:31" ht="25" customHeight="1" thickTop="1" thickBot="1">
      <c r="A103" s="27"/>
      <c r="B103" s="114"/>
      <c r="C103" s="27"/>
      <c r="D103" s="627" t="s">
        <v>219</v>
      </c>
      <c r="E103" s="627"/>
      <c r="F103" s="627"/>
      <c r="G103" s="627"/>
      <c r="H103" s="627"/>
      <c r="I103" s="627"/>
      <c r="J103" s="223" t="s">
        <v>218</v>
      </c>
      <c r="K103" s="204">
        <v>32</v>
      </c>
      <c r="L103" s="570" t="s">
        <v>298</v>
      </c>
      <c r="M103" s="571" t="str">
        <f>IF(K103&lt;&gt;32,"WARNING: Required RB_H_SYNC value is 32","")</f>
        <v/>
      </c>
      <c r="N103" s="46"/>
      <c r="R103" s="259"/>
      <c r="S103" s="23"/>
      <c r="AE103" s="259"/>
    </row>
    <row r="104" spans="1:31" ht="25" customHeight="1" thickTop="1" thickBot="1">
      <c r="A104" s="27"/>
      <c r="B104" s="114"/>
      <c r="C104" s="27"/>
      <c r="D104" s="264"/>
      <c r="E104" s="264"/>
      <c r="F104" s="264"/>
      <c r="G104" s="264"/>
      <c r="H104" s="264"/>
      <c r="I104" s="264"/>
      <c r="J104" s="267"/>
      <c r="K104" s="268"/>
      <c r="L104" s="154"/>
      <c r="M104" s="572"/>
      <c r="N104" s="46"/>
      <c r="R104" s="259"/>
      <c r="S104" s="23"/>
      <c r="AE104" s="259"/>
    </row>
    <row r="105" spans="1:31" ht="25" customHeight="1" thickTop="1" thickBot="1">
      <c r="A105" s="27"/>
      <c r="B105" s="114"/>
      <c r="C105" s="27"/>
      <c r="D105" s="619" t="s">
        <v>228</v>
      </c>
      <c r="E105" s="619"/>
      <c r="F105" s="619"/>
      <c r="G105" s="619"/>
      <c r="H105" s="619"/>
      <c r="I105" s="619"/>
      <c r="J105" s="222" t="s">
        <v>220</v>
      </c>
      <c r="K105" s="205">
        <v>460</v>
      </c>
      <c r="L105" s="570" t="s">
        <v>299</v>
      </c>
      <c r="M105" s="571" t="str">
        <f>IF(K105&lt;&gt;460,"WARNING: Required RB_MIN_VBLANK value is 460","")</f>
        <v/>
      </c>
      <c r="N105" s="46"/>
      <c r="R105" s="259"/>
      <c r="S105" s="23"/>
      <c r="AE105" s="259"/>
    </row>
    <row r="106" spans="1:31" ht="22" thickTop="1" thickBot="1">
      <c r="A106" s="27"/>
      <c r="B106" s="114"/>
      <c r="C106" s="27"/>
      <c r="D106" s="619" t="s">
        <v>170</v>
      </c>
      <c r="E106" s="619"/>
      <c r="F106" s="619"/>
      <c r="G106" s="619"/>
      <c r="H106" s="619"/>
      <c r="I106" s="619"/>
      <c r="J106" s="223" t="s">
        <v>211</v>
      </c>
      <c r="K106" s="204">
        <f>K107</f>
        <v>1</v>
      </c>
      <c r="L106" s="570" t="s">
        <v>235</v>
      </c>
      <c r="M106" s="571" t="str">
        <f>IF(K106&lt;&gt;1,"WARNING: Required RB_V_FPORCH value is 1","")</f>
        <v/>
      </c>
      <c r="N106" s="46"/>
      <c r="R106" s="259"/>
      <c r="S106" s="23"/>
      <c r="AE106" s="259"/>
    </row>
    <row r="107" spans="1:31" ht="25" customHeight="1" thickTop="1" thickBot="1">
      <c r="A107" s="27"/>
      <c r="B107" s="114"/>
      <c r="C107" s="27"/>
      <c r="D107" s="634" t="s">
        <v>223</v>
      </c>
      <c r="E107" s="634"/>
      <c r="F107" s="634"/>
      <c r="G107" s="634"/>
      <c r="H107" s="634"/>
      <c r="I107" s="634"/>
      <c r="J107" s="222" t="s">
        <v>221</v>
      </c>
      <c r="K107" s="204">
        <v>1</v>
      </c>
      <c r="L107" s="154"/>
      <c r="M107" s="572" t="str">
        <f>IF(K107&lt;&gt;1,"WARNING: Required RB_V_FPORCH value is 1","")</f>
        <v/>
      </c>
      <c r="N107" s="46"/>
      <c r="R107" s="259"/>
      <c r="S107" s="23"/>
      <c r="AE107" s="259"/>
    </row>
    <row r="108" spans="1:31" ht="25" customHeight="1" thickTop="1" thickBot="1">
      <c r="A108" s="27"/>
      <c r="B108" s="114"/>
      <c r="C108" s="27"/>
      <c r="D108" s="138"/>
      <c r="E108" s="138"/>
      <c r="F108" s="138"/>
      <c r="G108" s="138"/>
      <c r="H108" s="138"/>
      <c r="I108" s="138"/>
      <c r="J108" s="138"/>
      <c r="K108" s="203"/>
      <c r="L108" s="154"/>
      <c r="M108" s="573"/>
      <c r="N108" s="46"/>
      <c r="R108" s="259"/>
      <c r="S108" s="23"/>
      <c r="AE108" s="259"/>
    </row>
    <row r="109" spans="1:31" ht="25" customHeight="1" thickTop="1" thickBot="1">
      <c r="A109" s="27"/>
      <c r="B109" s="114"/>
      <c r="C109" s="27"/>
      <c r="D109" s="619" t="s">
        <v>171</v>
      </c>
      <c r="E109" s="619"/>
      <c r="F109" s="619"/>
      <c r="G109" s="619"/>
      <c r="H109" s="619"/>
      <c r="I109" s="619"/>
      <c r="J109" s="223" t="s">
        <v>211</v>
      </c>
      <c r="K109" s="204">
        <f>K110</f>
        <v>6</v>
      </c>
      <c r="L109" s="224" t="s">
        <v>236</v>
      </c>
      <c r="M109" s="572" t="str">
        <f>IF(K109&lt;&gt;6,"WARNING: Required RB_MIN_V_BPORCH value is 6","")</f>
        <v/>
      </c>
      <c r="R109" s="259"/>
      <c r="S109" s="23"/>
      <c r="AE109" s="259"/>
    </row>
    <row r="110" spans="1:31" ht="25" customHeight="1" thickTop="1" thickBot="1">
      <c r="A110" s="27"/>
      <c r="B110" s="114"/>
      <c r="C110" s="27"/>
      <c r="D110" s="634" t="s">
        <v>248</v>
      </c>
      <c r="E110" s="634"/>
      <c r="F110" s="634"/>
      <c r="G110" s="634"/>
      <c r="H110" s="634"/>
      <c r="I110" s="634"/>
      <c r="J110" s="222" t="s">
        <v>224</v>
      </c>
      <c r="K110" s="204">
        <v>6</v>
      </c>
      <c r="L110" s="154"/>
      <c r="M110" s="572" t="str">
        <f>IF(K110&lt;&gt;6,"WARNING: Required RB_MIN_V_BPORCH value is 6","")</f>
        <v/>
      </c>
      <c r="N110" s="46"/>
      <c r="R110" s="259"/>
      <c r="S110" s="23"/>
      <c r="AE110" s="259"/>
    </row>
    <row r="111" spans="1:31" ht="24" thickTop="1">
      <c r="A111" s="27"/>
      <c r="B111" s="114"/>
      <c r="C111" s="27"/>
      <c r="D111" s="11"/>
      <c r="E111" s="11"/>
      <c r="F111" s="27"/>
      <c r="G111" s="27"/>
      <c r="H111" s="27"/>
      <c r="I111" s="73"/>
      <c r="K111" s="118"/>
      <c r="L111" s="154"/>
      <c r="M111" s="573"/>
      <c r="N111" s="46"/>
      <c r="R111" s="259"/>
      <c r="S111" s="23"/>
      <c r="W111" s="259"/>
      <c r="AE111" s="259"/>
    </row>
    <row r="112" spans="1:31" ht="25" customHeight="1" thickBot="1">
      <c r="A112" s="27"/>
      <c r="B112" s="210" t="s">
        <v>159</v>
      </c>
      <c r="C112" s="27"/>
      <c r="D112" s="11"/>
      <c r="E112" s="11"/>
      <c r="F112" s="27"/>
      <c r="G112" s="27"/>
      <c r="H112" s="27"/>
      <c r="I112" s="73"/>
      <c r="L112" s="154"/>
      <c r="M112" s="573"/>
      <c r="N112" s="46"/>
      <c r="R112" s="259"/>
      <c r="S112" s="23"/>
      <c r="W112" s="259"/>
      <c r="AE112" s="259"/>
    </row>
    <row r="113" spans="1:31" ht="25" customHeight="1" thickTop="1" thickBot="1">
      <c r="A113" s="27"/>
      <c r="B113" s="210"/>
      <c r="C113" s="27"/>
      <c r="D113" s="625" t="s">
        <v>180</v>
      </c>
      <c r="E113" s="625"/>
      <c r="F113" s="625"/>
      <c r="G113" s="625"/>
      <c r="H113" s="625"/>
      <c r="I113" s="625"/>
      <c r="J113" s="223" t="s">
        <v>211</v>
      </c>
      <c r="K113" s="205">
        <f>FINE_CLOCK_STEP</f>
        <v>1E-3</v>
      </c>
      <c r="L113" s="570" t="s">
        <v>237</v>
      </c>
      <c r="M113" s="572" t="str">
        <f>IF(K113&lt;&gt;0.001,"WARNING: Required CLOCK_STEP value is 0.001","")</f>
        <v/>
      </c>
      <c r="N113" s="46"/>
      <c r="O113" s="259"/>
      <c r="P113" s="23"/>
      <c r="Q113" s="258"/>
      <c r="R113" s="259"/>
      <c r="S113" s="23"/>
      <c r="W113" s="259"/>
      <c r="AE113" s="259"/>
    </row>
    <row r="114" spans="1:31" ht="25" customHeight="1" thickTop="1" thickBot="1">
      <c r="A114" s="27"/>
      <c r="B114" s="1"/>
      <c r="C114" s="2"/>
      <c r="D114" s="629" t="s">
        <v>234</v>
      </c>
      <c r="E114" s="629"/>
      <c r="F114" s="629"/>
      <c r="G114" s="629"/>
      <c r="H114" s="629"/>
      <c r="I114" s="629"/>
      <c r="J114" s="222" t="s">
        <v>227</v>
      </c>
      <c r="K114" s="205">
        <v>1E-3</v>
      </c>
      <c r="L114" s="224"/>
      <c r="M114" s="572" t="str">
        <f>IF(K114&lt;&gt;0.001,"WARNING: Required CLOCK_STEP value is 0.001","")</f>
        <v/>
      </c>
      <c r="N114" s="46"/>
      <c r="O114" s="259"/>
      <c r="P114" s="23"/>
      <c r="Q114" s="258"/>
      <c r="R114" s="259"/>
      <c r="S114" s="23"/>
      <c r="W114" s="259"/>
      <c r="AE114" s="259"/>
    </row>
    <row r="115" spans="1:31" ht="25" customHeight="1" thickTop="1">
      <c r="A115" s="27"/>
      <c r="B115" s="1"/>
      <c r="C115" s="2"/>
      <c r="D115" s="2"/>
      <c r="E115" s="2"/>
      <c r="F115" s="2"/>
      <c r="G115" s="2"/>
      <c r="H115" s="2"/>
      <c r="I115" s="2"/>
      <c r="J115" s="2"/>
      <c r="K115" s="119"/>
      <c r="L115" s="112"/>
      <c r="M115" s="573"/>
      <c r="N115" s="46"/>
      <c r="O115" s="120"/>
      <c r="P115" s="122"/>
      <c r="Q115" s="123"/>
      <c r="R115" s="259"/>
      <c r="S115" s="23"/>
      <c r="AE115" s="259"/>
    </row>
    <row r="116" spans="1:31" ht="25" customHeight="1">
      <c r="A116" s="27"/>
      <c r="B116" s="210" t="s">
        <v>166</v>
      </c>
      <c r="C116" s="120"/>
      <c r="D116" s="120"/>
      <c r="E116" s="120"/>
      <c r="F116" s="121"/>
      <c r="G116" s="116"/>
      <c r="H116" s="218"/>
      <c r="I116" s="275"/>
      <c r="J116" s="23"/>
      <c r="K116" s="258"/>
      <c r="L116" s="24"/>
      <c r="M116" s="573"/>
      <c r="N116" s="46"/>
      <c r="O116" s="120"/>
      <c r="P116" s="122"/>
      <c r="Q116" s="123"/>
      <c r="R116" s="259"/>
      <c r="S116" s="23"/>
      <c r="AE116" s="259"/>
    </row>
    <row r="117" spans="1:31" ht="25" customHeight="1" thickBot="1">
      <c r="A117" s="27"/>
      <c r="B117" s="124"/>
      <c r="C117" s="120"/>
      <c r="D117" s="120"/>
      <c r="E117" s="120"/>
      <c r="F117" s="120"/>
      <c r="G117" s="121"/>
      <c r="H117" s="116"/>
      <c r="I117" s="218"/>
      <c r="J117" s="46"/>
      <c r="K117" s="23"/>
      <c r="L117" s="258"/>
      <c r="M117" s="573"/>
      <c r="N117" s="23"/>
      <c r="O117" s="120"/>
      <c r="P117" s="122"/>
      <c r="Q117" s="123"/>
      <c r="R117" s="23"/>
      <c r="S117" s="23"/>
      <c r="AE117" s="259"/>
    </row>
    <row r="118" spans="1:31" ht="25" customHeight="1" thickBot="1">
      <c r="A118" s="27"/>
      <c r="B118" s="124"/>
      <c r="C118" s="213" t="s">
        <v>163</v>
      </c>
      <c r="D118" s="214" t="s">
        <v>164</v>
      </c>
      <c r="E118" s="215" t="s">
        <v>145</v>
      </c>
      <c r="F118" s="216"/>
      <c r="G118" s="217"/>
      <c r="H118" s="116"/>
      <c r="I118" s="218"/>
      <c r="J118" s="46"/>
      <c r="K118" s="23"/>
      <c r="L118" s="258"/>
      <c r="M118" s="573"/>
      <c r="O118" s="120"/>
      <c r="P118" s="122"/>
      <c r="Q118" s="123"/>
      <c r="R118" s="259"/>
      <c r="S118" s="23"/>
      <c r="AE118" s="259"/>
    </row>
    <row r="119" spans="1:31" ht="25" customHeight="1" thickBot="1">
      <c r="A119" s="27"/>
      <c r="B119" s="124"/>
      <c r="C119" s="211" t="s">
        <v>150</v>
      </c>
      <c r="D119" s="212" t="s">
        <v>149</v>
      </c>
      <c r="E119" s="630" t="s">
        <v>285</v>
      </c>
      <c r="F119" s="631"/>
      <c r="G119" s="632"/>
      <c r="H119" s="116"/>
      <c r="I119" s="218"/>
      <c r="J119" s="46"/>
      <c r="K119" s="23"/>
      <c r="L119" s="258"/>
      <c r="M119" s="573"/>
      <c r="O119" s="120"/>
      <c r="P119" s="122"/>
      <c r="Q119" s="123"/>
      <c r="R119" s="259"/>
      <c r="S119" s="23"/>
      <c r="AE119" s="259"/>
    </row>
    <row r="120" spans="1:31" ht="24" thickBot="1">
      <c r="A120" s="27"/>
      <c r="B120" s="124"/>
      <c r="C120" s="120"/>
      <c r="D120" s="274"/>
      <c r="E120" s="273"/>
      <c r="F120" s="125"/>
      <c r="L120" s="116"/>
      <c r="M120" s="574"/>
      <c r="O120" s="120"/>
      <c r="P120" s="122"/>
      <c r="Q120" s="123"/>
      <c r="R120" s="259"/>
      <c r="S120" s="23"/>
      <c r="AE120" s="259"/>
    </row>
    <row r="121" spans="1:31" ht="25" customHeight="1" thickTop="1" thickBot="1">
      <c r="A121" s="27"/>
      <c r="B121" s="210" t="s">
        <v>177</v>
      </c>
      <c r="C121" s="142"/>
      <c r="D121" s="142"/>
      <c r="E121" s="143"/>
      <c r="F121" s="142"/>
      <c r="G121" s="142"/>
      <c r="H121" s="142"/>
      <c r="I121" s="142"/>
      <c r="J121" s="223" t="s">
        <v>211</v>
      </c>
      <c r="K121" s="206">
        <f>IF(AND((RED_BLANK_RQD="y"),(RED_BLANK_VER=3)),K123,K122)</f>
        <v>350</v>
      </c>
      <c r="L121" s="570" t="s">
        <v>300</v>
      </c>
      <c r="M121" s="571" t="str">
        <f>IF(AND(K122&lt;&gt;0,K122&lt;&gt;350),"WARNING: Required V_FIELD_RATE_PPM_ADJ value is 0 or 350","")</f>
        <v/>
      </c>
      <c r="N121" s="46"/>
      <c r="O121" s="120"/>
      <c r="P121" s="122"/>
      <c r="Q121" s="123"/>
      <c r="R121" s="259"/>
      <c r="S121" s="23"/>
      <c r="AE121" s="259"/>
    </row>
    <row r="122" spans="1:31" ht="25" customHeight="1" thickTop="1" thickBot="1">
      <c r="A122" s="27"/>
      <c r="B122" s="124"/>
      <c r="C122" s="142"/>
      <c r="D122" s="633" t="s">
        <v>281</v>
      </c>
      <c r="E122" s="633"/>
      <c r="F122" s="633"/>
      <c r="G122" s="633"/>
      <c r="H122" s="633"/>
      <c r="I122" s="633"/>
      <c r="J122" s="222" t="s">
        <v>231</v>
      </c>
      <c r="K122" s="205">
        <v>0</v>
      </c>
      <c r="L122" s="218"/>
      <c r="M122" s="572" t="str">
        <f>IF(K122&lt;&gt;0,"WARNING: Required V_FIELD_RATE_PPM_ADJ value is 0","")</f>
        <v/>
      </c>
      <c r="N122" s="46"/>
      <c r="O122" s="120"/>
      <c r="P122" s="122"/>
      <c r="Q122" s="123"/>
      <c r="R122" s="259"/>
      <c r="S122" s="23"/>
      <c r="AE122" s="259"/>
    </row>
    <row r="123" spans="1:31" ht="25" customHeight="1" thickTop="1" thickBot="1">
      <c r="A123" s="27"/>
      <c r="B123" s="124"/>
      <c r="C123" s="142"/>
      <c r="D123" s="633" t="s">
        <v>230</v>
      </c>
      <c r="E123" s="633"/>
      <c r="F123" s="633"/>
      <c r="G123" s="633"/>
      <c r="H123" s="633"/>
      <c r="I123" s="633"/>
      <c r="J123" s="222" t="s">
        <v>232</v>
      </c>
      <c r="K123" s="205">
        <f>U13</f>
        <v>350</v>
      </c>
      <c r="L123" s="218"/>
      <c r="M123" s="572" t="str">
        <f>IF(K123&lt;&gt;350,"WARNING: Required V_FIELD_RATE_PPM_ADJ value is 350","")</f>
        <v/>
      </c>
      <c r="N123" s="46"/>
      <c r="O123" s="120"/>
      <c r="P123" s="122"/>
      <c r="Q123" s="123"/>
      <c r="R123" s="259"/>
      <c r="S123" s="23"/>
      <c r="AE123" s="259"/>
    </row>
    <row r="124" spans="1:31" ht="25" customHeight="1" thickTop="1" thickBot="1">
      <c r="A124" s="27"/>
      <c r="B124" s="126"/>
      <c r="C124" s="127"/>
      <c r="D124" s="127"/>
      <c r="E124" s="128"/>
      <c r="F124" s="127"/>
      <c r="G124" s="127"/>
      <c r="H124" s="127"/>
      <c r="I124" s="127"/>
      <c r="J124" s="127"/>
      <c r="K124" s="127"/>
      <c r="L124" s="219"/>
      <c r="M124" s="220"/>
      <c r="N124" s="46"/>
      <c r="O124" s="120"/>
      <c r="P124" s="122"/>
      <c r="Q124" s="123"/>
      <c r="R124" s="259"/>
      <c r="S124" s="23"/>
      <c r="AE124" s="259"/>
    </row>
    <row r="125" spans="1:31" ht="25" customHeight="1" thickTop="1">
      <c r="N125" s="46"/>
      <c r="O125" s="120"/>
      <c r="P125" s="122"/>
      <c r="Q125" s="123"/>
      <c r="R125" s="259"/>
      <c r="S125" s="23"/>
      <c r="AE125" s="259"/>
    </row>
    <row r="126" spans="1:31" ht="23">
      <c r="N126" s="46"/>
      <c r="O126" s="120"/>
      <c r="P126" s="122"/>
      <c r="Q126" s="123"/>
      <c r="R126" s="259"/>
      <c r="S126" s="23"/>
      <c r="AE126" s="259"/>
    </row>
    <row r="127" spans="1:31" ht="23.5" customHeight="1">
      <c r="N127" s="46"/>
      <c r="O127" s="120"/>
      <c r="P127" s="122"/>
      <c r="Q127" s="123"/>
      <c r="R127" s="259"/>
      <c r="S127" s="23"/>
      <c r="AE127" s="259"/>
    </row>
    <row r="128" spans="1:31" ht="23">
      <c r="N128" s="46"/>
      <c r="O128" s="120"/>
      <c r="P128" s="122"/>
      <c r="Q128" s="123"/>
      <c r="R128" s="259"/>
      <c r="S128" s="23"/>
      <c r="AE128" s="259"/>
    </row>
    <row r="129" spans="15:36" ht="25" customHeight="1">
      <c r="O129" s="120"/>
      <c r="P129" s="122"/>
      <c r="Q129" s="123"/>
      <c r="R129" s="259"/>
      <c r="S129" s="23"/>
      <c r="AE129" s="259"/>
    </row>
    <row r="130" spans="15:36" ht="25" customHeight="1">
      <c r="O130" s="2"/>
      <c r="P130" s="129"/>
      <c r="Q130" s="130"/>
      <c r="R130" s="259"/>
      <c r="S130" s="23"/>
      <c r="AE130" s="259"/>
    </row>
    <row r="131" spans="15:36" ht="25" customHeight="1">
      <c r="O131" s="129"/>
      <c r="P131" s="130"/>
      <c r="Q131" s="119"/>
      <c r="R131" s="259"/>
      <c r="S131" s="23"/>
      <c r="AE131" s="259"/>
    </row>
    <row r="132" spans="15:36" ht="25" customHeight="1">
      <c r="O132" s="129"/>
      <c r="P132" s="130"/>
      <c r="Q132" s="119"/>
      <c r="R132" s="259"/>
      <c r="S132" s="23"/>
      <c r="AE132" s="259"/>
      <c r="AJ132" s="46"/>
    </row>
    <row r="133" spans="15:36" ht="59.25" customHeight="1">
      <c r="O133" s="129"/>
      <c r="P133" s="130"/>
      <c r="Q133" s="119"/>
      <c r="R133" s="259"/>
      <c r="S133" s="23"/>
      <c r="AE133" s="259"/>
      <c r="AJ133" s="46"/>
    </row>
    <row r="134" spans="15:36" ht="25" customHeight="1">
      <c r="O134" s="129"/>
      <c r="P134" s="130"/>
      <c r="Q134" s="119"/>
      <c r="R134" s="259"/>
      <c r="S134" s="23"/>
      <c r="AE134" s="259"/>
      <c r="AJ134" s="46"/>
    </row>
    <row r="135" spans="15:36" ht="25" customHeight="1">
      <c r="O135" s="129"/>
      <c r="P135" s="130"/>
      <c r="Q135" s="119"/>
      <c r="R135" s="259"/>
      <c r="S135" s="259"/>
      <c r="AE135" s="259"/>
    </row>
    <row r="136" spans="15:36" ht="25" customHeight="1">
      <c r="O136" s="129"/>
      <c r="P136" s="130"/>
      <c r="Q136" s="119"/>
      <c r="R136" s="259"/>
      <c r="S136" s="23"/>
      <c r="AE136" s="259"/>
    </row>
    <row r="137" spans="15:36" ht="25" customHeight="1">
      <c r="O137" s="129"/>
      <c r="P137" s="130"/>
      <c r="Q137" s="119"/>
      <c r="R137" s="259"/>
      <c r="S137" s="23"/>
      <c r="AE137" s="259"/>
    </row>
    <row r="138" spans="15:36" ht="18">
      <c r="O138" s="129"/>
      <c r="P138" s="130"/>
      <c r="Q138" s="119"/>
      <c r="R138" s="259"/>
      <c r="S138" s="23"/>
      <c r="AE138" s="259"/>
    </row>
    <row r="139" spans="15:36" ht="18">
      <c r="O139" s="129"/>
      <c r="P139" s="130"/>
      <c r="Q139" s="119"/>
      <c r="R139" s="259"/>
      <c r="S139" s="23"/>
      <c r="AE139" s="259"/>
    </row>
    <row r="140" spans="15:36">
      <c r="R140" s="259"/>
      <c r="S140" s="23"/>
      <c r="W140" s="259"/>
      <c r="X140" s="23"/>
      <c r="AE140" s="259"/>
    </row>
    <row r="141" spans="15:36" ht="23">
      <c r="R141" s="259"/>
      <c r="S141" s="23"/>
      <c r="W141" s="259"/>
      <c r="X141" s="23"/>
      <c r="Y141" s="120"/>
      <c r="AE141" s="259"/>
    </row>
    <row r="142" spans="15:36" ht="23">
      <c r="R142" s="259"/>
      <c r="S142" s="23"/>
      <c r="W142" s="120"/>
      <c r="X142" s="122"/>
      <c r="Y142" s="120"/>
      <c r="AE142" s="259"/>
    </row>
    <row r="143" spans="15:36" ht="23">
      <c r="R143" s="259"/>
      <c r="S143" s="23"/>
      <c r="W143" s="120"/>
      <c r="X143" s="122"/>
      <c r="Y143" s="120"/>
      <c r="AE143" s="259"/>
    </row>
    <row r="144" spans="15:36" ht="23">
      <c r="R144" s="259"/>
      <c r="S144" s="23"/>
      <c r="W144" s="120"/>
      <c r="X144" s="122"/>
      <c r="Y144" s="120"/>
      <c r="AE144" s="259"/>
    </row>
    <row r="145" spans="1:31" ht="23">
      <c r="R145" s="259"/>
      <c r="S145" s="23"/>
      <c r="W145" s="120"/>
      <c r="X145" s="122"/>
      <c r="Y145" s="120"/>
      <c r="AE145" s="259"/>
    </row>
    <row r="146" spans="1:31" ht="23">
      <c r="R146" s="259"/>
      <c r="S146" s="23"/>
      <c r="W146" s="120"/>
      <c r="X146" s="122"/>
      <c r="Y146" s="120"/>
      <c r="AE146" s="259"/>
    </row>
    <row r="147" spans="1:31" ht="44.5" customHeight="1">
      <c r="R147" s="259"/>
      <c r="S147" s="23"/>
      <c r="W147" s="120"/>
      <c r="X147" s="122"/>
      <c r="Y147" s="120"/>
      <c r="AE147" s="259"/>
    </row>
    <row r="148" spans="1:31" ht="23">
      <c r="R148" s="259"/>
      <c r="S148" s="23"/>
      <c r="W148" s="120"/>
      <c r="X148" s="122"/>
      <c r="Y148" s="120"/>
      <c r="AE148" s="259"/>
    </row>
    <row r="149" spans="1:31" ht="23">
      <c r="R149" s="259"/>
      <c r="S149" s="23"/>
      <c r="W149" s="120"/>
      <c r="X149" s="122"/>
      <c r="Y149" s="120"/>
      <c r="AE149" s="259"/>
    </row>
    <row r="150" spans="1:31" ht="23">
      <c r="R150" s="259"/>
      <c r="S150" s="23"/>
      <c r="W150" s="120"/>
      <c r="X150" s="122"/>
      <c r="Y150" s="120"/>
      <c r="AE150" s="259"/>
    </row>
    <row r="151" spans="1:31" ht="23">
      <c r="R151" s="259"/>
      <c r="S151" s="23"/>
      <c r="W151" s="120"/>
      <c r="X151" s="122"/>
      <c r="Y151" s="120"/>
      <c r="AE151" s="259"/>
    </row>
    <row r="152" spans="1:31" ht="23">
      <c r="R152" s="259"/>
      <c r="S152" s="23"/>
      <c r="W152" s="120"/>
      <c r="X152" s="122"/>
      <c r="Y152" s="120"/>
      <c r="AE152" s="259"/>
    </row>
    <row r="153" spans="1:31" ht="23">
      <c r="R153" s="259"/>
      <c r="S153" s="23"/>
      <c r="W153" s="120"/>
      <c r="X153" s="122"/>
      <c r="Y153" s="120"/>
      <c r="AE153" s="259"/>
    </row>
    <row r="154" spans="1:31" ht="23">
      <c r="R154" s="259"/>
      <c r="S154" s="259"/>
      <c r="T154" s="23"/>
      <c r="V154" s="120"/>
      <c r="W154" s="120"/>
      <c r="X154" s="122"/>
      <c r="Y154" s="120"/>
      <c r="AE154" s="259"/>
    </row>
    <row r="155" spans="1:31" ht="23">
      <c r="A155" s="120"/>
      <c r="R155" s="259"/>
      <c r="S155" s="259"/>
      <c r="T155" s="23"/>
      <c r="V155" s="120"/>
      <c r="W155" s="120"/>
      <c r="X155" s="122"/>
      <c r="Y155" s="120"/>
      <c r="AE155" s="259"/>
    </row>
    <row r="156" spans="1:31" ht="23">
      <c r="A156" s="120"/>
      <c r="R156" s="259"/>
      <c r="S156" s="120"/>
      <c r="T156" s="122"/>
      <c r="U156" s="120"/>
      <c r="V156" s="120"/>
      <c r="W156" s="120"/>
      <c r="X156" s="122"/>
      <c r="Y156" s="2"/>
      <c r="AE156" s="259"/>
    </row>
    <row r="157" spans="1:31" ht="23">
      <c r="A157" s="120"/>
      <c r="R157" s="259"/>
      <c r="S157" s="120"/>
      <c r="T157" s="122"/>
      <c r="U157" s="120"/>
      <c r="V157" s="120"/>
      <c r="W157" s="2"/>
      <c r="X157" s="129"/>
      <c r="Y157" s="2"/>
      <c r="AE157" s="259"/>
    </row>
    <row r="158" spans="1:31" ht="23">
      <c r="A158" s="120"/>
      <c r="R158" s="24"/>
      <c r="S158" s="120"/>
      <c r="T158" s="122"/>
      <c r="U158" s="120"/>
      <c r="V158" s="120"/>
      <c r="W158" s="129"/>
      <c r="X158" s="2"/>
      <c r="Y158" s="2"/>
      <c r="AE158" s="259"/>
    </row>
    <row r="159" spans="1:31" ht="23">
      <c r="A159" s="120"/>
      <c r="R159" s="24"/>
      <c r="S159" s="120"/>
      <c r="T159" s="122"/>
      <c r="U159" s="120"/>
      <c r="V159" s="120"/>
      <c r="W159" s="129"/>
      <c r="X159" s="2"/>
      <c r="Y159" s="2"/>
      <c r="AE159" s="259"/>
    </row>
    <row r="160" spans="1:31" ht="23">
      <c r="A160" s="120"/>
      <c r="R160" s="121"/>
      <c r="S160" s="120"/>
      <c r="T160" s="122"/>
      <c r="U160" s="120"/>
      <c r="V160" s="120"/>
      <c r="W160" s="129"/>
      <c r="X160" s="2"/>
      <c r="Y160" s="2"/>
      <c r="AE160" s="259"/>
    </row>
    <row r="161" spans="1:31" ht="23">
      <c r="A161" s="120"/>
      <c r="R161" s="121"/>
      <c r="S161" s="120"/>
      <c r="T161" s="122"/>
      <c r="U161" s="120"/>
      <c r="V161" s="120"/>
      <c r="W161" s="129"/>
      <c r="X161" s="2"/>
      <c r="Y161" s="2"/>
      <c r="AA161" s="120"/>
      <c r="AB161" s="120"/>
      <c r="AC161" s="120"/>
      <c r="AE161" s="259"/>
    </row>
    <row r="162" spans="1:31" ht="23">
      <c r="A162" s="120"/>
      <c r="R162" s="121"/>
      <c r="S162" s="120"/>
      <c r="T162" s="122"/>
      <c r="U162" s="120"/>
      <c r="V162" s="120"/>
      <c r="W162" s="129"/>
      <c r="X162" s="2"/>
      <c r="Y162" s="2"/>
      <c r="AA162" s="120"/>
      <c r="AB162" s="120"/>
      <c r="AC162" s="120"/>
      <c r="AE162" s="259"/>
    </row>
    <row r="163" spans="1:31" ht="24" customHeight="1">
      <c r="A163" s="120"/>
      <c r="N163" s="2"/>
      <c r="R163" s="121"/>
      <c r="S163" s="120"/>
      <c r="T163" s="122"/>
      <c r="U163" s="120"/>
      <c r="V163" s="120"/>
      <c r="W163" s="129"/>
      <c r="X163" s="2"/>
      <c r="Y163" s="2"/>
      <c r="Z163" s="120"/>
      <c r="AA163" s="120"/>
      <c r="AB163" s="120"/>
      <c r="AC163" s="120"/>
      <c r="AE163" s="259"/>
    </row>
    <row r="164" spans="1:31" ht="24" customHeight="1">
      <c r="A164" s="120"/>
      <c r="N164" s="2"/>
      <c r="R164" s="121"/>
      <c r="S164" s="120"/>
      <c r="T164" s="122"/>
      <c r="U164" s="120"/>
      <c r="V164" s="120"/>
      <c r="W164" s="129"/>
      <c r="X164" s="2"/>
      <c r="Y164" s="2"/>
      <c r="Z164" s="120"/>
      <c r="AA164" s="120"/>
      <c r="AB164" s="120"/>
      <c r="AC164" s="120"/>
      <c r="AE164" s="259"/>
    </row>
    <row r="165" spans="1:31" s="120" customFormat="1" ht="24" customHeight="1">
      <c r="B165" s="259"/>
      <c r="C165" s="259"/>
      <c r="D165" s="259"/>
      <c r="E165" s="259"/>
      <c r="F165" s="259"/>
      <c r="G165" s="259"/>
      <c r="H165" s="259"/>
      <c r="I165" s="259"/>
      <c r="J165" s="259"/>
      <c r="K165" s="259"/>
      <c r="L165" s="259"/>
      <c r="M165" s="259"/>
      <c r="O165" s="23"/>
      <c r="P165" s="258"/>
      <c r="Q165" s="24"/>
      <c r="R165" s="121"/>
      <c r="T165" s="122"/>
      <c r="W165" s="129"/>
      <c r="X165" s="2"/>
      <c r="Y165" s="2"/>
    </row>
    <row r="166" spans="1:31" s="120" customFormat="1" ht="24" customHeight="1">
      <c r="B166" s="259"/>
      <c r="C166" s="259"/>
      <c r="D166" s="259"/>
      <c r="E166" s="259"/>
      <c r="F166" s="259"/>
      <c r="G166" s="259"/>
      <c r="H166" s="259"/>
      <c r="I166" s="259"/>
      <c r="J166" s="259"/>
      <c r="K166" s="259"/>
      <c r="L166" s="259"/>
      <c r="M166" s="259"/>
      <c r="O166" s="23"/>
      <c r="P166" s="258"/>
      <c r="Q166" s="24"/>
      <c r="R166" s="121"/>
      <c r="T166" s="122"/>
      <c r="W166" s="129"/>
      <c r="X166" s="2"/>
      <c r="Y166" s="2"/>
    </row>
    <row r="167" spans="1:31" s="120" customFormat="1" ht="24" customHeight="1">
      <c r="B167" s="259"/>
      <c r="C167" s="259"/>
      <c r="D167" s="259"/>
      <c r="E167" s="259"/>
      <c r="F167" s="259"/>
      <c r="G167" s="259"/>
      <c r="H167" s="259"/>
      <c r="I167" s="259"/>
      <c r="J167" s="259"/>
      <c r="K167" s="259"/>
      <c r="L167" s="259"/>
      <c r="M167" s="259"/>
      <c r="O167" s="23"/>
      <c r="P167" s="258"/>
      <c r="Q167" s="24"/>
      <c r="R167" s="121"/>
      <c r="T167" s="122"/>
      <c r="W167" s="129"/>
      <c r="X167" s="2"/>
      <c r="Y167" s="2"/>
    </row>
    <row r="168" spans="1:31" s="120" customFormat="1" ht="24" customHeight="1">
      <c r="B168" s="259"/>
      <c r="C168" s="259"/>
      <c r="D168" s="259"/>
      <c r="E168" s="259"/>
      <c r="F168" s="259"/>
      <c r="G168" s="259"/>
      <c r="H168" s="259"/>
      <c r="I168" s="259"/>
      <c r="J168" s="259"/>
      <c r="K168" s="259"/>
      <c r="L168" s="259"/>
      <c r="M168" s="259"/>
      <c r="O168" s="23"/>
      <c r="P168" s="258"/>
      <c r="Q168" s="24"/>
      <c r="R168" s="121"/>
      <c r="T168" s="122"/>
      <c r="W168" s="23"/>
      <c r="X168" s="259"/>
      <c r="Y168" s="259"/>
    </row>
    <row r="169" spans="1:31" s="120" customFormat="1" ht="24" customHeight="1">
      <c r="B169" s="259"/>
      <c r="C169" s="259"/>
      <c r="D169" s="259"/>
      <c r="E169" s="259"/>
      <c r="F169" s="259"/>
      <c r="G169" s="259"/>
      <c r="H169" s="259"/>
      <c r="I169" s="259"/>
      <c r="J169" s="259"/>
      <c r="K169" s="259"/>
      <c r="L169" s="259"/>
      <c r="M169" s="259"/>
      <c r="O169" s="23"/>
      <c r="P169" s="258"/>
      <c r="Q169" s="24"/>
      <c r="R169" s="121"/>
      <c r="T169" s="122"/>
      <c r="V169" s="2"/>
      <c r="W169" s="23"/>
      <c r="X169" s="259"/>
      <c r="Y169" s="259"/>
    </row>
    <row r="170" spans="1:31" s="120" customFormat="1" ht="24" customHeight="1">
      <c r="A170" s="2"/>
      <c r="B170" s="259"/>
      <c r="C170" s="259"/>
      <c r="D170" s="259"/>
      <c r="E170" s="259"/>
      <c r="F170" s="259"/>
      <c r="G170" s="259"/>
      <c r="H170" s="259"/>
      <c r="I170" s="259"/>
      <c r="J170" s="259"/>
      <c r="K170" s="259"/>
      <c r="L170" s="259"/>
      <c r="M170" s="259"/>
      <c r="O170" s="23"/>
      <c r="P170" s="258"/>
      <c r="Q170" s="24"/>
      <c r="R170" s="121"/>
      <c r="S170" s="2"/>
      <c r="T170" s="129"/>
      <c r="U170" s="2"/>
      <c r="V170" s="2"/>
      <c r="W170" s="23"/>
      <c r="X170" s="259"/>
      <c r="Y170" s="259"/>
    </row>
    <row r="171" spans="1:31" s="120" customFormat="1" ht="24" customHeight="1">
      <c r="A171" s="131"/>
      <c r="B171" s="259"/>
      <c r="C171" s="259"/>
      <c r="D171" s="259"/>
      <c r="E171" s="259"/>
      <c r="F171" s="259"/>
      <c r="G171" s="259"/>
      <c r="H171" s="259"/>
      <c r="I171" s="259"/>
      <c r="J171" s="259"/>
      <c r="K171" s="259"/>
      <c r="L171" s="259"/>
      <c r="M171" s="259"/>
      <c r="O171" s="23"/>
      <c r="P171" s="258"/>
      <c r="Q171" s="24"/>
      <c r="R171" s="121"/>
      <c r="S171" s="129"/>
      <c r="T171" s="2"/>
      <c r="U171" s="2"/>
      <c r="V171" s="2"/>
      <c r="W171" s="23"/>
      <c r="X171" s="259"/>
      <c r="Y171" s="259"/>
    </row>
    <row r="172" spans="1:31" s="120" customFormat="1" ht="24" customHeight="1">
      <c r="A172" s="2"/>
      <c r="B172" s="259"/>
      <c r="C172" s="259"/>
      <c r="D172" s="259"/>
      <c r="E172" s="259"/>
      <c r="F172" s="259"/>
      <c r="G172" s="259"/>
      <c r="H172" s="259"/>
      <c r="I172" s="259"/>
      <c r="J172" s="259"/>
      <c r="K172" s="259"/>
      <c r="L172" s="259"/>
      <c r="M172" s="259"/>
      <c r="O172" s="23"/>
      <c r="P172" s="258"/>
      <c r="Q172" s="24"/>
      <c r="R172" s="121"/>
      <c r="S172" s="129"/>
      <c r="T172" s="2"/>
      <c r="U172" s="2"/>
      <c r="V172" s="2"/>
      <c r="W172" s="23"/>
      <c r="X172" s="259"/>
      <c r="Y172" s="259"/>
    </row>
    <row r="173" spans="1:31" s="120" customFormat="1" ht="24" customHeight="1">
      <c r="A173" s="2"/>
      <c r="B173" s="259"/>
      <c r="C173" s="259"/>
      <c r="D173" s="259"/>
      <c r="E173" s="259"/>
      <c r="F173" s="259"/>
      <c r="G173" s="259"/>
      <c r="H173" s="259"/>
      <c r="I173" s="259"/>
      <c r="J173" s="259"/>
      <c r="K173" s="259"/>
      <c r="L173" s="259"/>
      <c r="M173" s="259"/>
      <c r="O173" s="23"/>
      <c r="P173" s="258"/>
      <c r="Q173" s="24"/>
      <c r="R173" s="121"/>
      <c r="S173" s="129"/>
      <c r="T173" s="2"/>
      <c r="U173" s="2"/>
      <c r="V173" s="2"/>
      <c r="W173" s="23"/>
      <c r="X173" s="259"/>
      <c r="Y173" s="259"/>
    </row>
    <row r="174" spans="1:31" s="120" customFormat="1" ht="24" customHeight="1">
      <c r="A174" s="2"/>
      <c r="B174" s="259"/>
      <c r="C174" s="259"/>
      <c r="D174" s="259"/>
      <c r="E174" s="259"/>
      <c r="F174" s="259"/>
      <c r="G174" s="259"/>
      <c r="H174" s="259"/>
      <c r="I174" s="259"/>
      <c r="J174" s="259"/>
      <c r="K174" s="259"/>
      <c r="L174" s="259"/>
      <c r="M174" s="259"/>
      <c r="O174" s="23"/>
      <c r="P174" s="258"/>
      <c r="Q174" s="24"/>
      <c r="R174" s="121"/>
      <c r="S174" s="129"/>
      <c r="T174" s="2"/>
      <c r="U174" s="2"/>
      <c r="V174" s="2"/>
      <c r="W174" s="23"/>
      <c r="X174" s="259"/>
      <c r="Y174" s="259"/>
    </row>
    <row r="175" spans="1:31" s="120" customFormat="1" ht="24" customHeight="1">
      <c r="A175" s="2"/>
      <c r="B175" s="259"/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  <c r="M175" s="259"/>
      <c r="O175" s="23"/>
      <c r="P175" s="258"/>
      <c r="Q175" s="24"/>
      <c r="R175" s="119"/>
      <c r="S175" s="129"/>
      <c r="T175" s="2"/>
      <c r="U175" s="2"/>
      <c r="V175" s="2"/>
      <c r="W175" s="23"/>
      <c r="X175" s="259"/>
      <c r="Y175" s="259"/>
    </row>
    <row r="176" spans="1:31" s="120" customFormat="1" ht="24" customHeight="1">
      <c r="A176" s="2"/>
      <c r="B176" s="259"/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  <c r="M176" s="259"/>
      <c r="O176" s="23"/>
      <c r="P176" s="258"/>
      <c r="Q176" s="24"/>
      <c r="R176" s="2"/>
      <c r="S176" s="23"/>
      <c r="T176" s="259"/>
      <c r="U176" s="259"/>
      <c r="V176" s="2"/>
      <c r="W176" s="23"/>
      <c r="X176" s="259"/>
      <c r="Y176" s="259"/>
    </row>
    <row r="177" spans="1:35" s="120" customFormat="1" ht="24" customHeight="1">
      <c r="A177" s="2"/>
      <c r="B177" s="259"/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  <c r="M177" s="259"/>
      <c r="O177" s="23"/>
      <c r="P177" s="258"/>
      <c r="Q177" s="24"/>
      <c r="R177" s="2"/>
      <c r="S177" s="23"/>
      <c r="T177" s="259"/>
      <c r="U177" s="259"/>
      <c r="V177" s="2"/>
      <c r="W177" s="23"/>
      <c r="X177" s="259"/>
      <c r="Y177" s="259"/>
      <c r="AA177" s="2"/>
      <c r="AB177" s="2"/>
      <c r="AC177" s="2"/>
    </row>
    <row r="178" spans="1:35" s="120" customFormat="1" ht="24" customHeight="1">
      <c r="A178" s="259"/>
      <c r="B178" s="259"/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  <c r="M178" s="259"/>
      <c r="O178" s="23"/>
      <c r="P178" s="258"/>
      <c r="Q178" s="24"/>
      <c r="R178" s="2"/>
      <c r="S178" s="23"/>
      <c r="T178" s="259"/>
      <c r="U178" s="259"/>
      <c r="V178" s="2"/>
      <c r="W178" s="23"/>
      <c r="X178" s="259"/>
      <c r="Y178" s="259"/>
      <c r="AA178" s="2"/>
      <c r="AB178" s="2"/>
      <c r="AC178" s="2"/>
    </row>
    <row r="179" spans="1:35" s="120" customFormat="1" ht="24" customHeight="1">
      <c r="A179" s="259"/>
      <c r="B179" s="259"/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  <c r="M179" s="259"/>
      <c r="O179" s="23"/>
      <c r="P179" s="258"/>
      <c r="Q179" s="24"/>
      <c r="R179" s="2"/>
      <c r="S179" s="23"/>
      <c r="T179" s="259"/>
      <c r="U179" s="259"/>
      <c r="V179" s="259"/>
      <c r="W179" s="23"/>
      <c r="X179" s="259"/>
      <c r="Y179" s="259"/>
      <c r="Z179" s="2"/>
      <c r="AA179" s="2"/>
      <c r="AB179" s="2"/>
      <c r="AC179" s="2"/>
    </row>
    <row r="180" spans="1:35" s="2" customFormat="1" ht="18">
      <c r="A180" s="259"/>
      <c r="B180" s="259"/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  <c r="M180" s="259"/>
      <c r="O180" s="23"/>
      <c r="P180" s="258"/>
      <c r="Q180" s="24"/>
      <c r="S180" s="23"/>
      <c r="T180" s="259"/>
      <c r="U180" s="259"/>
      <c r="V180" s="259"/>
      <c r="W180" s="23"/>
      <c r="X180" s="259"/>
      <c r="Y180" s="259"/>
      <c r="AI180" s="3"/>
    </row>
    <row r="181" spans="1:35" s="2" customFormat="1" ht="18">
      <c r="A181" s="259"/>
      <c r="B181" s="259"/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  <c r="M181" s="259"/>
      <c r="O181" s="23"/>
      <c r="P181" s="258"/>
      <c r="Q181" s="24"/>
      <c r="S181" s="23"/>
      <c r="T181" s="259"/>
      <c r="U181" s="259"/>
      <c r="V181" s="259"/>
      <c r="W181" s="23"/>
      <c r="X181" s="259"/>
      <c r="Y181" s="259"/>
      <c r="AI181" s="3"/>
    </row>
    <row r="182" spans="1:35" s="2" customFormat="1" ht="18">
      <c r="A182" s="259"/>
      <c r="B182" s="259"/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  <c r="M182" s="259"/>
      <c r="O182" s="23"/>
      <c r="P182" s="258"/>
      <c r="Q182" s="24"/>
      <c r="R182" s="259"/>
      <c r="S182" s="23"/>
      <c r="T182" s="259"/>
      <c r="U182" s="259"/>
      <c r="V182" s="259"/>
      <c r="W182" s="23"/>
      <c r="X182" s="259"/>
      <c r="Y182" s="259"/>
      <c r="AA182" s="259"/>
      <c r="AB182" s="259"/>
      <c r="AC182" s="259"/>
      <c r="AI182" s="3"/>
    </row>
    <row r="183" spans="1:35" s="2" customFormat="1" ht="18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O183" s="23"/>
      <c r="P183" s="258"/>
      <c r="Q183" s="24"/>
      <c r="R183" s="259"/>
      <c r="S183" s="23"/>
      <c r="T183" s="259"/>
      <c r="U183" s="259"/>
      <c r="V183" s="259"/>
      <c r="W183" s="23"/>
      <c r="X183" s="259"/>
      <c r="Y183" s="259"/>
      <c r="AA183" s="259"/>
      <c r="AB183" s="259"/>
      <c r="AC183" s="259"/>
    </row>
    <row r="184" spans="1:35" s="2" customFormat="1" ht="18">
      <c r="A184" s="259"/>
      <c r="B184" s="259"/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  <c r="M184" s="259"/>
      <c r="O184" s="23"/>
      <c r="P184" s="258"/>
      <c r="Q184" s="24"/>
      <c r="R184" s="259"/>
      <c r="S184" s="23"/>
      <c r="T184" s="259"/>
      <c r="U184" s="259"/>
      <c r="V184" s="259"/>
      <c r="W184" s="23"/>
      <c r="X184" s="259"/>
      <c r="Y184" s="259"/>
      <c r="Z184" s="259"/>
      <c r="AA184" s="259"/>
      <c r="AB184" s="259"/>
      <c r="AC184" s="259"/>
    </row>
    <row r="185" spans="1:35" s="2" customFormat="1" ht="18">
      <c r="A185" s="259"/>
      <c r="B185" s="259"/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  <c r="M185" s="259"/>
      <c r="O185" s="23"/>
      <c r="P185" s="258"/>
      <c r="Q185" s="24"/>
      <c r="R185" s="259"/>
      <c r="S185" s="23"/>
      <c r="T185" s="259"/>
      <c r="U185" s="259"/>
      <c r="V185" s="259"/>
      <c r="W185" s="23"/>
      <c r="X185" s="259"/>
      <c r="Y185" s="259"/>
      <c r="Z185" s="259"/>
      <c r="AA185" s="259"/>
      <c r="AB185" s="259"/>
      <c r="AC185" s="259"/>
    </row>
    <row r="186" spans="1:35">
      <c r="R186" s="259"/>
      <c r="S186" s="23"/>
      <c r="AE186" s="259"/>
    </row>
    <row r="187" spans="1:35">
      <c r="R187" s="259"/>
      <c r="S187" s="23"/>
      <c r="AE187" s="259"/>
    </row>
    <row r="188" spans="1:35">
      <c r="R188" s="259"/>
      <c r="S188" s="23"/>
      <c r="AE188" s="259"/>
    </row>
    <row r="189" spans="1:35">
      <c r="R189" s="259"/>
      <c r="S189" s="23"/>
      <c r="AE189" s="259"/>
    </row>
    <row r="190" spans="1:35">
      <c r="R190" s="259"/>
      <c r="S190" s="23"/>
      <c r="AE190" s="259"/>
    </row>
    <row r="191" spans="1:35">
      <c r="R191" s="259"/>
      <c r="S191" s="23"/>
      <c r="AE191" s="259"/>
    </row>
    <row r="192" spans="1:35">
      <c r="R192" s="259"/>
      <c r="S192" s="23"/>
      <c r="AE192" s="259"/>
    </row>
    <row r="193" spans="18:31">
      <c r="R193" s="259"/>
      <c r="S193" s="23"/>
      <c r="AE193" s="259"/>
    </row>
    <row r="194" spans="18:31">
      <c r="R194" s="259"/>
      <c r="S194" s="23"/>
      <c r="AE194" s="259"/>
    </row>
    <row r="195" spans="18:31">
      <c r="R195" s="259"/>
      <c r="S195" s="23"/>
      <c r="AE195" s="259"/>
    </row>
    <row r="196" spans="18:31">
      <c r="R196" s="259"/>
      <c r="S196" s="23"/>
      <c r="AE196" s="259"/>
    </row>
    <row r="197" spans="18:31">
      <c r="R197" s="259"/>
      <c r="S197" s="23"/>
      <c r="AE197" s="259"/>
    </row>
    <row r="198" spans="18:31">
      <c r="R198" s="259"/>
      <c r="S198" s="23"/>
      <c r="AE198" s="259"/>
    </row>
    <row r="199" spans="18:31">
      <c r="R199" s="259"/>
      <c r="S199" s="23"/>
      <c r="AE199" s="259"/>
    </row>
    <row r="200" spans="18:31">
      <c r="R200" s="259"/>
      <c r="S200" s="23"/>
      <c r="AE200" s="259"/>
    </row>
    <row r="201" spans="18:31">
      <c r="R201" s="259"/>
      <c r="S201" s="23"/>
      <c r="AE201" s="259"/>
    </row>
    <row r="202" spans="18:31">
      <c r="R202" s="259"/>
      <c r="S202" s="23"/>
      <c r="AE202" s="259"/>
    </row>
    <row r="203" spans="18:31">
      <c r="R203" s="259"/>
      <c r="S203" s="23"/>
      <c r="AE203" s="259"/>
    </row>
    <row r="204" spans="18:31">
      <c r="R204" s="259"/>
      <c r="S204" s="23"/>
      <c r="AE204" s="259"/>
    </row>
    <row r="205" spans="18:31">
      <c r="R205" s="259"/>
      <c r="S205" s="23"/>
      <c r="AE205" s="259"/>
    </row>
    <row r="206" spans="18:31">
      <c r="R206" s="259"/>
      <c r="S206" s="23"/>
      <c r="AE206" s="259"/>
    </row>
    <row r="207" spans="18:31">
      <c r="R207" s="259"/>
      <c r="S207" s="23"/>
      <c r="AE207" s="259"/>
    </row>
    <row r="208" spans="18:31">
      <c r="R208" s="259"/>
      <c r="S208" s="23"/>
      <c r="AE208" s="259"/>
    </row>
    <row r="209" spans="18:31">
      <c r="R209" s="259"/>
      <c r="S209" s="23"/>
      <c r="AE209" s="259"/>
    </row>
    <row r="210" spans="18:31">
      <c r="R210" s="259"/>
      <c r="S210" s="23"/>
      <c r="AE210" s="259"/>
    </row>
    <row r="211" spans="18:31">
      <c r="R211" s="259"/>
      <c r="S211" s="23"/>
      <c r="AE211" s="259"/>
    </row>
    <row r="212" spans="18:31">
      <c r="R212" s="259"/>
      <c r="S212" s="23"/>
      <c r="AE212" s="259"/>
    </row>
    <row r="213" spans="18:31">
      <c r="R213" s="259"/>
      <c r="S213" s="23"/>
      <c r="AE213" s="259"/>
    </row>
    <row r="214" spans="18:31">
      <c r="R214" s="259"/>
      <c r="S214" s="23"/>
      <c r="AE214" s="259"/>
    </row>
    <row r="215" spans="18:31">
      <c r="R215" s="259"/>
      <c r="S215" s="23"/>
      <c r="AE215" s="259"/>
    </row>
    <row r="216" spans="18:31">
      <c r="R216" s="259"/>
      <c r="S216" s="23"/>
      <c r="AE216" s="259"/>
    </row>
    <row r="217" spans="18:31">
      <c r="R217" s="259"/>
      <c r="S217" s="23"/>
      <c r="AE217" s="259"/>
    </row>
    <row r="218" spans="18:31">
      <c r="R218" s="259"/>
      <c r="S218" s="23"/>
      <c r="AE218" s="259"/>
    </row>
    <row r="219" spans="18:31">
      <c r="R219" s="259"/>
      <c r="S219" s="23"/>
      <c r="AE219" s="259"/>
    </row>
    <row r="220" spans="18:31">
      <c r="R220" s="259"/>
      <c r="S220" s="23"/>
      <c r="AE220" s="259"/>
    </row>
    <row r="221" spans="18:31">
      <c r="R221" s="259"/>
      <c r="S221" s="23"/>
      <c r="AE221" s="259"/>
    </row>
    <row r="222" spans="18:31">
      <c r="R222" s="259"/>
      <c r="S222" s="23"/>
      <c r="AE222" s="259"/>
    </row>
    <row r="223" spans="18:31">
      <c r="R223" s="259"/>
      <c r="S223" s="23"/>
      <c r="AE223" s="259"/>
    </row>
    <row r="224" spans="18:31">
      <c r="R224" s="259"/>
      <c r="S224" s="23"/>
      <c r="AE224" s="259"/>
    </row>
    <row r="225" spans="18:31">
      <c r="R225" s="259"/>
      <c r="S225" s="23"/>
      <c r="AE225" s="259"/>
    </row>
    <row r="226" spans="18:31">
      <c r="R226" s="259"/>
      <c r="S226" s="23"/>
      <c r="AE226" s="259"/>
    </row>
    <row r="227" spans="18:31">
      <c r="R227" s="259"/>
      <c r="S227" s="23"/>
      <c r="AE227" s="259"/>
    </row>
    <row r="228" spans="18:31">
      <c r="R228" s="259"/>
      <c r="S228" s="23"/>
      <c r="AE228" s="259"/>
    </row>
    <row r="229" spans="18:31">
      <c r="R229" s="259"/>
      <c r="S229" s="23"/>
      <c r="AE229" s="259"/>
    </row>
    <row r="230" spans="18:31">
      <c r="R230" s="259"/>
      <c r="S230" s="23"/>
      <c r="AE230" s="259"/>
    </row>
    <row r="231" spans="18:31">
      <c r="R231" s="259"/>
      <c r="S231" s="23"/>
      <c r="AE231" s="259"/>
    </row>
    <row r="232" spans="18:31">
      <c r="R232" s="259"/>
      <c r="S232" s="23"/>
      <c r="AE232" s="259"/>
    </row>
    <row r="233" spans="18:31">
      <c r="R233" s="259"/>
      <c r="S233" s="23"/>
      <c r="AE233" s="259"/>
    </row>
    <row r="234" spans="18:31">
      <c r="R234" s="259"/>
      <c r="S234" s="23"/>
      <c r="AE234" s="259"/>
    </row>
    <row r="235" spans="18:31">
      <c r="R235" s="259"/>
      <c r="S235" s="23"/>
      <c r="AE235" s="259"/>
    </row>
    <row r="236" spans="18:31">
      <c r="R236" s="259"/>
      <c r="S236" s="23"/>
      <c r="AE236" s="259"/>
    </row>
    <row r="237" spans="18:31">
      <c r="R237" s="259"/>
      <c r="S237" s="23"/>
      <c r="AE237" s="259"/>
    </row>
    <row r="238" spans="18:31">
      <c r="R238" s="259"/>
      <c r="S238" s="23"/>
      <c r="W238" s="132"/>
      <c r="AE238" s="259"/>
    </row>
    <row r="239" spans="18:31">
      <c r="R239" s="259"/>
      <c r="S239" s="23"/>
      <c r="W239" s="132"/>
      <c r="AE239" s="259"/>
    </row>
    <row r="240" spans="18:31">
      <c r="R240" s="259"/>
      <c r="S240" s="23"/>
      <c r="W240" s="132"/>
      <c r="AE240" s="259"/>
    </row>
    <row r="241" spans="18:31">
      <c r="R241" s="259"/>
      <c r="S241" s="23"/>
      <c r="W241" s="132"/>
      <c r="AE241" s="259"/>
    </row>
    <row r="242" spans="18:31">
      <c r="R242" s="259"/>
      <c r="S242" s="23"/>
      <c r="W242" s="132"/>
      <c r="AE242" s="259"/>
    </row>
    <row r="243" spans="18:31">
      <c r="R243" s="259"/>
      <c r="S243" s="23"/>
      <c r="W243" s="132"/>
      <c r="AE243" s="259"/>
    </row>
    <row r="244" spans="18:31">
      <c r="R244" s="259"/>
      <c r="S244" s="23"/>
      <c r="W244" s="132"/>
      <c r="AE244" s="259"/>
    </row>
    <row r="245" spans="18:31">
      <c r="R245" s="259"/>
      <c r="S245" s="23"/>
      <c r="W245" s="132"/>
      <c r="AE245" s="259"/>
    </row>
    <row r="246" spans="18:31">
      <c r="R246" s="259"/>
      <c r="S246" s="23"/>
      <c r="W246" s="132"/>
      <c r="AE246" s="259"/>
    </row>
    <row r="247" spans="18:31">
      <c r="R247" s="259"/>
      <c r="S247" s="23"/>
      <c r="W247" s="132"/>
      <c r="AE247" s="259"/>
    </row>
    <row r="248" spans="18:31">
      <c r="R248" s="259"/>
      <c r="S248" s="23"/>
      <c r="W248" s="132"/>
      <c r="AE248" s="259"/>
    </row>
    <row r="249" spans="18:31">
      <c r="R249" s="259"/>
      <c r="S249" s="23"/>
      <c r="W249" s="132"/>
      <c r="AE249" s="259"/>
    </row>
    <row r="250" spans="18:31">
      <c r="R250" s="259"/>
      <c r="S250" s="23"/>
      <c r="W250" s="132"/>
      <c r="AE250" s="259"/>
    </row>
    <row r="251" spans="18:31">
      <c r="R251" s="259"/>
      <c r="S251" s="23"/>
      <c r="W251" s="132"/>
      <c r="AE251" s="259"/>
    </row>
    <row r="252" spans="18:31">
      <c r="R252" s="259"/>
      <c r="S252" s="23"/>
      <c r="W252" s="132"/>
      <c r="AE252" s="259"/>
    </row>
    <row r="253" spans="18:31">
      <c r="R253" s="259"/>
      <c r="S253" s="23"/>
      <c r="W253" s="132"/>
      <c r="AE253" s="259"/>
    </row>
    <row r="254" spans="18:31">
      <c r="R254" s="259"/>
      <c r="S254" s="23"/>
      <c r="W254" s="132"/>
      <c r="AE254" s="259"/>
    </row>
    <row r="255" spans="18:31">
      <c r="R255" s="259"/>
      <c r="S255" s="23"/>
      <c r="W255" s="132"/>
      <c r="AE255" s="259"/>
    </row>
    <row r="256" spans="18:31">
      <c r="R256" s="259"/>
      <c r="S256" s="23"/>
      <c r="W256" s="132"/>
      <c r="AE256" s="259"/>
    </row>
    <row r="257" spans="18:31">
      <c r="R257" s="259"/>
      <c r="S257" s="23"/>
      <c r="W257" s="132"/>
      <c r="AE257" s="259"/>
    </row>
    <row r="258" spans="18:31">
      <c r="R258" s="259"/>
      <c r="S258" s="23"/>
      <c r="W258" s="132"/>
      <c r="AE258" s="259"/>
    </row>
    <row r="259" spans="18:31">
      <c r="R259" s="259"/>
      <c r="S259" s="23"/>
      <c r="W259" s="132"/>
      <c r="AE259" s="259"/>
    </row>
    <row r="260" spans="18:31">
      <c r="R260" s="259"/>
      <c r="S260" s="23"/>
      <c r="W260" s="132"/>
      <c r="AE260" s="259"/>
    </row>
    <row r="261" spans="18:31">
      <c r="R261" s="259"/>
      <c r="S261" s="23"/>
      <c r="W261" s="132"/>
      <c r="AE261" s="259"/>
    </row>
    <row r="262" spans="18:31">
      <c r="R262" s="259"/>
      <c r="S262" s="23"/>
      <c r="W262" s="132"/>
      <c r="AE262" s="259"/>
    </row>
    <row r="263" spans="18:31">
      <c r="R263" s="259"/>
      <c r="S263" s="23"/>
      <c r="W263" s="132"/>
      <c r="AE263" s="259"/>
    </row>
    <row r="264" spans="18:31">
      <c r="R264" s="259"/>
      <c r="S264" s="23"/>
      <c r="W264" s="132"/>
      <c r="AE264" s="259"/>
    </row>
    <row r="265" spans="18:31">
      <c r="R265" s="259"/>
      <c r="S265" s="23"/>
      <c r="W265" s="132"/>
      <c r="AE265" s="259"/>
    </row>
    <row r="266" spans="18:31">
      <c r="R266" s="259"/>
      <c r="S266" s="23"/>
      <c r="W266" s="132"/>
      <c r="AE266" s="259"/>
    </row>
    <row r="267" spans="18:31">
      <c r="R267" s="259"/>
      <c r="S267" s="23"/>
      <c r="W267" s="132"/>
      <c r="AE267" s="259"/>
    </row>
    <row r="268" spans="18:31">
      <c r="R268" s="259"/>
      <c r="S268" s="23"/>
      <c r="W268" s="132"/>
      <c r="AE268" s="259"/>
    </row>
    <row r="269" spans="18:31">
      <c r="R269" s="259"/>
      <c r="S269" s="23"/>
      <c r="W269" s="132"/>
      <c r="AE269" s="259"/>
    </row>
    <row r="270" spans="18:31">
      <c r="R270" s="259"/>
      <c r="S270" s="23"/>
      <c r="W270" s="132"/>
      <c r="AE270" s="259"/>
    </row>
    <row r="271" spans="18:31">
      <c r="R271" s="259"/>
      <c r="S271" s="23"/>
      <c r="W271" s="132"/>
      <c r="AE271" s="259"/>
    </row>
    <row r="272" spans="18:31">
      <c r="R272" s="259"/>
      <c r="S272" s="23"/>
      <c r="W272" s="132"/>
      <c r="AE272" s="259"/>
    </row>
    <row r="273" spans="18:31">
      <c r="R273" s="259"/>
      <c r="S273" s="23"/>
      <c r="W273" s="132"/>
      <c r="AE273" s="259"/>
    </row>
    <row r="274" spans="18:31">
      <c r="R274" s="259"/>
      <c r="S274" s="23"/>
      <c r="W274" s="132"/>
      <c r="AE274" s="259"/>
    </row>
    <row r="275" spans="18:31">
      <c r="R275" s="259"/>
      <c r="S275" s="23"/>
      <c r="W275" s="132"/>
      <c r="AE275" s="259"/>
    </row>
    <row r="276" spans="18:31">
      <c r="R276" s="259"/>
      <c r="S276" s="23"/>
      <c r="W276" s="132"/>
      <c r="AE276" s="259"/>
    </row>
    <row r="277" spans="18:31">
      <c r="R277" s="259"/>
      <c r="S277" s="23"/>
      <c r="W277" s="132"/>
      <c r="AE277" s="259"/>
    </row>
    <row r="278" spans="18:31">
      <c r="R278" s="259"/>
      <c r="S278" s="23"/>
      <c r="W278" s="132"/>
      <c r="AE278" s="259"/>
    </row>
    <row r="279" spans="18:31">
      <c r="R279" s="259"/>
      <c r="S279" s="23"/>
      <c r="W279" s="132"/>
      <c r="AE279" s="259"/>
    </row>
    <row r="280" spans="18:31">
      <c r="R280" s="259"/>
      <c r="S280" s="23"/>
      <c r="W280" s="132"/>
      <c r="AE280" s="259"/>
    </row>
    <row r="281" spans="18:31">
      <c r="R281" s="259"/>
      <c r="S281" s="23"/>
      <c r="W281" s="132"/>
      <c r="AE281" s="259"/>
    </row>
    <row r="282" spans="18:31">
      <c r="R282" s="259"/>
      <c r="S282" s="23"/>
      <c r="W282" s="132"/>
      <c r="AE282" s="259"/>
    </row>
    <row r="283" spans="18:31">
      <c r="R283" s="259"/>
      <c r="S283" s="23"/>
      <c r="W283" s="132"/>
      <c r="AE283" s="259"/>
    </row>
    <row r="284" spans="18:31">
      <c r="R284" s="259"/>
      <c r="S284" s="23"/>
      <c r="W284" s="132"/>
      <c r="AE284" s="259"/>
    </row>
    <row r="285" spans="18:31">
      <c r="R285" s="259"/>
      <c r="S285" s="23"/>
      <c r="W285" s="132"/>
      <c r="AE285" s="259"/>
    </row>
    <row r="286" spans="18:31">
      <c r="R286" s="259"/>
      <c r="S286" s="23"/>
      <c r="W286" s="132"/>
      <c r="AE286" s="259"/>
    </row>
    <row r="287" spans="18:31">
      <c r="R287" s="259"/>
      <c r="S287" s="23"/>
      <c r="W287" s="132"/>
      <c r="AE287" s="259"/>
    </row>
    <row r="288" spans="18:31">
      <c r="R288" s="259"/>
      <c r="S288" s="23"/>
      <c r="W288" s="132"/>
      <c r="AE288" s="259"/>
    </row>
    <row r="289" spans="18:31">
      <c r="R289" s="259"/>
      <c r="S289" s="23"/>
      <c r="W289" s="132"/>
      <c r="AE289" s="259"/>
    </row>
    <row r="290" spans="18:31">
      <c r="R290" s="259"/>
      <c r="S290" s="23"/>
      <c r="W290" s="132"/>
      <c r="AE290" s="259"/>
    </row>
    <row r="291" spans="18:31">
      <c r="R291" s="259"/>
      <c r="S291" s="23"/>
      <c r="W291" s="132"/>
      <c r="AE291" s="259"/>
    </row>
    <row r="292" spans="18:31">
      <c r="R292" s="259"/>
      <c r="S292" s="23"/>
      <c r="W292" s="132"/>
      <c r="AE292" s="259"/>
    </row>
    <row r="293" spans="18:31">
      <c r="R293" s="259"/>
      <c r="S293" s="23"/>
      <c r="W293" s="132"/>
      <c r="AE293" s="259"/>
    </row>
    <row r="294" spans="18:31">
      <c r="R294" s="259"/>
      <c r="S294" s="23"/>
      <c r="W294" s="132"/>
      <c r="AE294" s="259"/>
    </row>
    <row r="295" spans="18:31">
      <c r="R295" s="259"/>
      <c r="S295" s="23"/>
      <c r="W295" s="132"/>
      <c r="AE295" s="259"/>
    </row>
    <row r="296" spans="18:31">
      <c r="R296" s="259"/>
      <c r="S296" s="23"/>
      <c r="W296" s="132"/>
      <c r="AE296" s="259"/>
    </row>
    <row r="297" spans="18:31">
      <c r="R297" s="259"/>
      <c r="S297" s="23"/>
      <c r="W297" s="132"/>
      <c r="AE297" s="259"/>
    </row>
    <row r="298" spans="18:31">
      <c r="R298" s="259"/>
      <c r="S298" s="23"/>
      <c r="W298" s="132"/>
      <c r="AE298" s="259"/>
    </row>
    <row r="299" spans="18:31">
      <c r="R299" s="259"/>
      <c r="S299" s="23"/>
      <c r="W299" s="132"/>
      <c r="AE299" s="259"/>
    </row>
    <row r="300" spans="18:31">
      <c r="R300" s="259"/>
      <c r="S300" s="23"/>
      <c r="W300" s="132"/>
      <c r="AE300" s="259"/>
    </row>
    <row r="301" spans="18:31">
      <c r="R301" s="259"/>
      <c r="S301" s="23"/>
      <c r="W301" s="132"/>
      <c r="AE301" s="259"/>
    </row>
    <row r="302" spans="18:31">
      <c r="R302" s="259"/>
      <c r="S302" s="23"/>
      <c r="W302" s="132"/>
      <c r="AE302" s="259"/>
    </row>
    <row r="303" spans="18:31">
      <c r="R303" s="259"/>
      <c r="S303" s="23"/>
      <c r="W303" s="132"/>
      <c r="AE303" s="259"/>
    </row>
    <row r="304" spans="18:31">
      <c r="R304" s="259"/>
      <c r="S304" s="23"/>
      <c r="W304" s="132"/>
      <c r="AE304" s="259"/>
    </row>
    <row r="305" spans="4:31">
      <c r="R305" s="259"/>
      <c r="S305" s="23"/>
      <c r="W305" s="132"/>
      <c r="AE305" s="259"/>
    </row>
    <row r="306" spans="4:31">
      <c r="R306" s="259"/>
      <c r="S306" s="23"/>
      <c r="W306" s="132"/>
      <c r="AE306" s="259"/>
    </row>
    <row r="307" spans="4:31">
      <c r="R307" s="259"/>
      <c r="S307" s="23"/>
      <c r="W307" s="132"/>
      <c r="AE307" s="259"/>
    </row>
    <row r="308" spans="4:31">
      <c r="R308" s="259"/>
      <c r="S308" s="23"/>
      <c r="W308" s="132"/>
      <c r="AE308" s="259"/>
    </row>
    <row r="309" spans="4:31">
      <c r="R309" s="259"/>
      <c r="S309" s="23"/>
      <c r="W309" s="132"/>
      <c r="AE309" s="259"/>
    </row>
    <row r="310" spans="4:31">
      <c r="R310" s="259"/>
      <c r="S310" s="23"/>
      <c r="W310" s="132"/>
      <c r="AE310" s="259"/>
    </row>
    <row r="311" spans="4:31">
      <c r="R311" s="259"/>
      <c r="S311" s="23"/>
      <c r="W311" s="132"/>
      <c r="AE311" s="259"/>
    </row>
    <row r="312" spans="4:31">
      <c r="D312" s="24"/>
      <c r="R312" s="259"/>
      <c r="S312" s="23"/>
      <c r="W312" s="132"/>
      <c r="AE312" s="259"/>
    </row>
    <row r="313" spans="4:31">
      <c r="K313" s="24"/>
      <c r="R313" s="259"/>
      <c r="S313" s="23"/>
      <c r="W313" s="132"/>
      <c r="AE313" s="259"/>
    </row>
    <row r="314" spans="4:31">
      <c r="R314" s="259"/>
      <c r="S314" s="23"/>
      <c r="W314" s="132"/>
      <c r="AE314" s="259"/>
    </row>
    <row r="315" spans="4:31">
      <c r="R315" s="259"/>
      <c r="S315" s="23"/>
      <c r="T315" s="46"/>
      <c r="U315" s="71"/>
      <c r="W315" s="132"/>
      <c r="AE315" s="259"/>
    </row>
    <row r="316" spans="4:31">
      <c r="R316" s="259"/>
      <c r="S316" s="23"/>
      <c r="T316" s="46"/>
      <c r="U316" s="71"/>
      <c r="W316" s="132"/>
      <c r="AE316" s="259"/>
    </row>
    <row r="317" spans="4:31">
      <c r="R317" s="259"/>
      <c r="S317" s="23"/>
      <c r="T317" s="46"/>
      <c r="U317" s="46"/>
      <c r="W317" s="132"/>
      <c r="Y317" s="46"/>
      <c r="AE317" s="259"/>
    </row>
    <row r="318" spans="4:31">
      <c r="R318" s="259"/>
      <c r="S318" s="23"/>
      <c r="T318" s="46"/>
      <c r="U318" s="46"/>
      <c r="W318" s="132"/>
      <c r="X318" s="46"/>
      <c r="Y318" s="46"/>
      <c r="AE318" s="259"/>
    </row>
    <row r="319" spans="4:31">
      <c r="R319" s="259"/>
      <c r="S319" s="23"/>
      <c r="T319" s="46"/>
      <c r="U319" s="46"/>
      <c r="W319" s="132"/>
      <c r="X319" s="46"/>
      <c r="Y319" s="46"/>
      <c r="AE319" s="259"/>
    </row>
    <row r="320" spans="4:31">
      <c r="R320" s="259"/>
      <c r="S320" s="23"/>
      <c r="T320" s="46"/>
      <c r="U320" s="46"/>
      <c r="W320" s="132"/>
      <c r="X320" s="46"/>
      <c r="Y320" s="46"/>
      <c r="AE320" s="259"/>
    </row>
    <row r="321" spans="18:31">
      <c r="R321" s="259"/>
      <c r="S321" s="23"/>
      <c r="T321" s="46"/>
      <c r="U321" s="46"/>
      <c r="W321" s="132"/>
      <c r="X321" s="46"/>
      <c r="Y321" s="46"/>
      <c r="AE321" s="259"/>
    </row>
    <row r="322" spans="18:31">
      <c r="R322" s="259"/>
      <c r="S322" s="23"/>
      <c r="T322" s="46"/>
      <c r="U322" s="46"/>
      <c r="W322" s="132"/>
      <c r="X322" s="46"/>
      <c r="Y322" s="46"/>
      <c r="AE322" s="259"/>
    </row>
    <row r="323" spans="18:31">
      <c r="R323" s="259"/>
      <c r="S323" s="23"/>
      <c r="T323" s="46"/>
      <c r="U323" s="46"/>
      <c r="W323" s="132"/>
      <c r="X323" s="46"/>
      <c r="Y323" s="46"/>
      <c r="AE323" s="259"/>
    </row>
    <row r="324" spans="18:31">
      <c r="R324" s="259"/>
      <c r="S324" s="23"/>
      <c r="T324" s="46"/>
      <c r="U324" s="46"/>
      <c r="W324" s="132"/>
      <c r="X324" s="46"/>
      <c r="Y324" s="46"/>
      <c r="AE324" s="259"/>
    </row>
    <row r="325" spans="18:31">
      <c r="R325" s="259"/>
      <c r="S325" s="23"/>
      <c r="T325" s="46"/>
      <c r="U325" s="46"/>
      <c r="W325" s="132"/>
      <c r="X325" s="46"/>
      <c r="Y325" s="46"/>
      <c r="AE325" s="259"/>
    </row>
    <row r="326" spans="18:31">
      <c r="R326" s="259"/>
      <c r="S326" s="23"/>
      <c r="T326" s="46"/>
      <c r="U326" s="46"/>
      <c r="W326" s="132"/>
      <c r="X326" s="46"/>
      <c r="Y326" s="46"/>
      <c r="AE326" s="259"/>
    </row>
    <row r="327" spans="18:31">
      <c r="R327" s="259"/>
      <c r="S327" s="23"/>
      <c r="T327" s="46"/>
      <c r="U327" s="46"/>
      <c r="W327" s="132"/>
      <c r="X327" s="46"/>
      <c r="Y327" s="46"/>
      <c r="AE327" s="259"/>
    </row>
    <row r="328" spans="18:31">
      <c r="R328" s="259"/>
      <c r="S328" s="23"/>
      <c r="T328" s="46"/>
      <c r="U328" s="77"/>
      <c r="W328" s="132"/>
      <c r="X328" s="46"/>
      <c r="Y328" s="46"/>
      <c r="AE328" s="259"/>
    </row>
    <row r="329" spans="18:31">
      <c r="R329" s="259"/>
      <c r="S329" s="23"/>
      <c r="T329" s="46"/>
      <c r="U329" s="77"/>
      <c r="W329" s="132"/>
      <c r="X329" s="46"/>
      <c r="Y329" s="46"/>
      <c r="AE329" s="259"/>
    </row>
    <row r="330" spans="18:31">
      <c r="R330" s="259"/>
      <c r="S330" s="23"/>
      <c r="T330" s="46"/>
      <c r="U330" s="46"/>
      <c r="W330" s="132"/>
      <c r="X330" s="46"/>
      <c r="Y330" s="46"/>
      <c r="AE330" s="259"/>
    </row>
    <row r="331" spans="18:31">
      <c r="R331" s="259"/>
      <c r="S331" s="23"/>
      <c r="T331" s="46"/>
      <c r="U331" s="71"/>
      <c r="W331" s="132"/>
      <c r="X331" s="46"/>
      <c r="Y331" s="46"/>
      <c r="AE331" s="259"/>
    </row>
    <row r="332" spans="18:31">
      <c r="R332" s="259"/>
      <c r="S332" s="23"/>
      <c r="T332" s="46"/>
      <c r="U332" s="46"/>
      <c r="W332" s="132"/>
      <c r="X332" s="46"/>
      <c r="Y332" s="46"/>
      <c r="AE332" s="259"/>
    </row>
    <row r="333" spans="18:31">
      <c r="R333" s="259"/>
      <c r="S333" s="23"/>
      <c r="T333" s="46"/>
      <c r="U333" s="46"/>
      <c r="W333" s="132"/>
      <c r="X333" s="46"/>
      <c r="Y333" s="46"/>
      <c r="AE333" s="259"/>
    </row>
    <row r="334" spans="18:31">
      <c r="R334" s="259"/>
      <c r="S334" s="23"/>
      <c r="T334" s="46"/>
      <c r="U334" s="46"/>
      <c r="W334" s="132"/>
      <c r="X334" s="46"/>
      <c r="Y334" s="46"/>
      <c r="AE334" s="259"/>
    </row>
    <row r="335" spans="18:31">
      <c r="R335" s="259"/>
      <c r="S335" s="133"/>
      <c r="T335" s="46"/>
      <c r="U335" s="46"/>
      <c r="W335" s="132"/>
      <c r="X335" s="46"/>
      <c r="Y335" s="46"/>
      <c r="AE335" s="259"/>
    </row>
    <row r="336" spans="18:31">
      <c r="R336" s="259"/>
      <c r="S336" s="133"/>
      <c r="T336" s="46"/>
      <c r="U336" s="46"/>
      <c r="W336" s="132"/>
      <c r="X336" s="46"/>
      <c r="Y336" s="46"/>
      <c r="AE336" s="259"/>
    </row>
    <row r="337" spans="18:31">
      <c r="R337" s="259"/>
      <c r="W337" s="132"/>
      <c r="X337" s="46"/>
      <c r="Y337" s="46"/>
      <c r="AE337" s="259"/>
    </row>
    <row r="338" spans="18:31">
      <c r="R338" s="259"/>
      <c r="W338" s="132"/>
      <c r="X338" s="46"/>
      <c r="Y338" s="46"/>
      <c r="AE338" s="259"/>
    </row>
    <row r="339" spans="18:31">
      <c r="R339" s="259"/>
      <c r="W339" s="132"/>
      <c r="X339" s="46"/>
      <c r="Y339" s="46"/>
      <c r="AE339" s="259"/>
    </row>
    <row r="340" spans="18:31">
      <c r="R340" s="259"/>
      <c r="Y340" s="46"/>
      <c r="AE340" s="259"/>
    </row>
    <row r="341" spans="18:31">
      <c r="R341" s="259"/>
      <c r="Y341" s="46"/>
      <c r="AE341" s="259"/>
    </row>
    <row r="342" spans="18:31">
      <c r="R342" s="259"/>
      <c r="Y342" s="46"/>
      <c r="AE342" s="259"/>
    </row>
    <row r="343" spans="18:31">
      <c r="R343" s="259"/>
      <c r="Y343" s="46"/>
      <c r="AE343" s="259"/>
    </row>
    <row r="344" spans="18:31">
      <c r="R344" s="259"/>
      <c r="Y344" s="46"/>
      <c r="AE344" s="259"/>
    </row>
    <row r="345" spans="18:31">
      <c r="R345" s="259"/>
      <c r="Y345" s="46"/>
      <c r="AE345" s="259"/>
    </row>
    <row r="346" spans="18:31">
      <c r="R346" s="259"/>
      <c r="V346" s="46"/>
      <c r="Y346" s="46"/>
      <c r="AE346" s="259"/>
    </row>
    <row r="347" spans="18:31">
      <c r="R347" s="259"/>
      <c r="V347" s="46"/>
      <c r="Y347" s="46"/>
      <c r="AE347" s="259"/>
    </row>
    <row r="348" spans="18:31">
      <c r="R348" s="259"/>
      <c r="V348" s="46"/>
      <c r="Y348" s="46"/>
      <c r="AE348" s="259"/>
    </row>
    <row r="349" spans="18:31">
      <c r="R349" s="259"/>
      <c r="V349" s="46"/>
      <c r="Y349" s="46"/>
      <c r="AE349" s="259"/>
    </row>
    <row r="350" spans="18:31">
      <c r="V350" s="46"/>
      <c r="Y350" s="46"/>
      <c r="AE350" s="259"/>
    </row>
    <row r="351" spans="18:31">
      <c r="V351" s="46"/>
      <c r="Y351" s="46"/>
      <c r="AE351" s="259"/>
    </row>
    <row r="352" spans="18:31">
      <c r="V352" s="46"/>
      <c r="Y352" s="46"/>
      <c r="AE352" s="259"/>
    </row>
    <row r="353" spans="22:31">
      <c r="V353" s="46"/>
      <c r="Y353" s="46"/>
      <c r="AE353" s="259"/>
    </row>
    <row r="354" spans="22:31">
      <c r="V354" s="46"/>
      <c r="Y354" s="46"/>
      <c r="AE354" s="259"/>
    </row>
    <row r="355" spans="22:31">
      <c r="V355" s="46"/>
      <c r="Y355" s="46"/>
      <c r="Z355" s="46"/>
      <c r="AE355" s="259"/>
    </row>
    <row r="356" spans="22:31">
      <c r="V356" s="46"/>
      <c r="Y356" s="46"/>
      <c r="Z356" s="46"/>
      <c r="AE356" s="259"/>
    </row>
    <row r="357" spans="22:31">
      <c r="V357" s="46"/>
      <c r="Y357" s="46"/>
      <c r="Z357" s="46"/>
      <c r="AE357" s="259"/>
    </row>
    <row r="358" spans="22:31">
      <c r="V358" s="46"/>
      <c r="Y358" s="46"/>
      <c r="Z358" s="46"/>
      <c r="AE358" s="259"/>
    </row>
    <row r="359" spans="22:31">
      <c r="V359" s="46"/>
      <c r="Y359" s="46"/>
      <c r="Z359" s="46"/>
      <c r="AE359" s="259"/>
    </row>
    <row r="360" spans="22:31">
      <c r="V360" s="46"/>
      <c r="Y360" s="46"/>
      <c r="Z360" s="46"/>
      <c r="AE360" s="259"/>
    </row>
    <row r="361" spans="22:31">
      <c r="V361" s="46"/>
      <c r="Y361" s="46"/>
      <c r="Z361" s="46"/>
      <c r="AE361" s="259"/>
    </row>
    <row r="362" spans="22:31">
      <c r="V362" s="46"/>
      <c r="Y362" s="46"/>
      <c r="Z362" s="46"/>
      <c r="AE362" s="259"/>
    </row>
    <row r="363" spans="22:31">
      <c r="V363" s="46"/>
      <c r="Y363" s="46"/>
      <c r="Z363" s="46"/>
      <c r="AE363" s="259"/>
    </row>
    <row r="364" spans="22:31">
      <c r="V364" s="46"/>
      <c r="Y364" s="46"/>
      <c r="Z364" s="46"/>
      <c r="AE364" s="259"/>
    </row>
    <row r="365" spans="22:31">
      <c r="V365" s="46"/>
      <c r="Y365" s="46"/>
      <c r="Z365" s="46"/>
      <c r="AE365" s="259"/>
    </row>
    <row r="366" spans="22:31">
      <c r="V366" s="46"/>
      <c r="Y366" s="46"/>
      <c r="Z366" s="46"/>
      <c r="AE366" s="259"/>
    </row>
    <row r="367" spans="22:31">
      <c r="V367" s="46"/>
      <c r="Y367" s="46"/>
      <c r="Z367" s="46"/>
      <c r="AE367" s="259"/>
    </row>
    <row r="368" spans="22:31">
      <c r="Y368" s="46"/>
      <c r="Z368" s="46"/>
      <c r="AE368" s="259"/>
    </row>
    <row r="369" spans="25:35">
      <c r="Y369" s="46"/>
      <c r="Z369" s="46"/>
      <c r="AE369" s="259"/>
    </row>
    <row r="370" spans="25:35">
      <c r="Z370" s="46"/>
      <c r="AE370" s="259"/>
    </row>
    <row r="371" spans="25:35">
      <c r="Z371" s="46"/>
      <c r="AE371" s="259"/>
    </row>
    <row r="372" spans="25:35">
      <c r="Z372" s="46"/>
      <c r="AE372" s="259"/>
    </row>
    <row r="373" spans="25:35">
      <c r="Z373" s="71"/>
      <c r="AE373" s="259"/>
    </row>
    <row r="374" spans="25:35">
      <c r="Z374" s="71"/>
      <c r="AE374" s="259"/>
    </row>
    <row r="375" spans="25:35">
      <c r="Z375" s="71"/>
      <c r="AA375" s="46"/>
      <c r="AC375" s="46"/>
      <c r="AE375" s="259"/>
    </row>
    <row r="376" spans="25:35">
      <c r="Z376" s="46"/>
      <c r="AA376" s="46"/>
      <c r="AB376" s="46"/>
      <c r="AC376" s="46"/>
      <c r="AE376" s="259"/>
    </row>
    <row r="377" spans="25:35">
      <c r="Z377" s="135"/>
      <c r="AA377" s="46"/>
      <c r="AB377" s="46"/>
      <c r="AC377" s="46"/>
      <c r="AE377" s="259"/>
    </row>
    <row r="378" spans="25:35">
      <c r="Z378" s="135"/>
      <c r="AA378" s="46"/>
      <c r="AB378" s="46"/>
      <c r="AC378" s="46"/>
      <c r="AE378" s="259"/>
    </row>
    <row r="379" spans="25:35">
      <c r="Z379" s="135"/>
      <c r="AA379" s="46"/>
      <c r="AB379" s="46"/>
      <c r="AC379" s="46"/>
      <c r="AD379" s="46"/>
      <c r="AE379" s="89"/>
      <c r="AF379" s="46"/>
      <c r="AG379" s="46"/>
      <c r="AH379" s="46"/>
      <c r="AI379" s="46"/>
    </row>
    <row r="380" spans="25:35">
      <c r="Z380" s="46"/>
      <c r="AA380" s="46"/>
      <c r="AB380" s="46"/>
      <c r="AC380" s="46"/>
      <c r="AD380" s="46"/>
      <c r="AE380" s="89"/>
      <c r="AF380" s="46"/>
      <c r="AG380" s="46"/>
      <c r="AH380" s="46"/>
      <c r="AI380" s="71"/>
    </row>
    <row r="381" spans="25:35">
      <c r="Z381" s="46"/>
      <c r="AA381" s="46"/>
      <c r="AB381" s="46"/>
      <c r="AC381" s="46"/>
      <c r="AD381" s="46"/>
      <c r="AE381" s="89"/>
      <c r="AF381" s="46"/>
      <c r="AG381" s="46"/>
      <c r="AH381" s="46"/>
      <c r="AI381" s="46"/>
    </row>
    <row r="382" spans="25:35">
      <c r="Z382" s="46"/>
      <c r="AA382" s="46"/>
      <c r="AB382" s="46"/>
      <c r="AC382" s="46"/>
      <c r="AD382" s="46"/>
      <c r="AE382" s="89"/>
      <c r="AF382" s="46"/>
      <c r="AG382" s="46"/>
      <c r="AH382" s="46"/>
      <c r="AI382" s="71"/>
    </row>
    <row r="383" spans="25:35">
      <c r="Z383" s="46"/>
      <c r="AA383" s="46"/>
      <c r="AB383" s="46"/>
      <c r="AC383" s="46"/>
      <c r="AD383" s="46"/>
      <c r="AE383" s="89"/>
      <c r="AF383" s="46"/>
      <c r="AG383" s="46"/>
      <c r="AH383" s="46"/>
      <c r="AI383" s="46"/>
    </row>
    <row r="384" spans="25:35">
      <c r="Z384" s="46"/>
      <c r="AA384" s="46"/>
      <c r="AB384" s="46"/>
      <c r="AC384" s="46"/>
      <c r="AD384" s="46"/>
      <c r="AE384" s="89"/>
      <c r="AF384" s="46"/>
      <c r="AG384" s="46"/>
      <c r="AH384" s="46"/>
      <c r="AI384" s="46"/>
    </row>
    <row r="385" spans="26:35">
      <c r="Z385" s="46"/>
      <c r="AA385" s="46"/>
      <c r="AB385" s="46"/>
      <c r="AC385" s="46"/>
      <c r="AD385" s="46"/>
      <c r="AE385" s="89"/>
      <c r="AF385" s="46"/>
      <c r="AG385" s="46"/>
      <c r="AH385" s="46"/>
      <c r="AI385" s="46"/>
    </row>
    <row r="386" spans="26:35">
      <c r="Z386" s="46"/>
      <c r="AA386" s="46"/>
      <c r="AB386" s="46"/>
      <c r="AC386" s="46"/>
      <c r="AD386" s="46"/>
      <c r="AE386" s="89"/>
      <c r="AF386" s="46"/>
      <c r="AG386" s="46"/>
      <c r="AH386" s="46"/>
      <c r="AI386" s="46"/>
    </row>
    <row r="387" spans="26:35">
      <c r="Z387" s="46"/>
      <c r="AA387" s="46"/>
      <c r="AB387" s="46"/>
      <c r="AC387" s="71"/>
      <c r="AD387" s="71"/>
      <c r="AE387" s="89"/>
      <c r="AF387" s="46"/>
      <c r="AG387" s="46"/>
      <c r="AH387" s="46"/>
      <c r="AI387" s="46"/>
    </row>
    <row r="388" spans="26:35">
      <c r="Z388" s="46"/>
      <c r="AA388" s="46"/>
      <c r="AB388" s="46"/>
      <c r="AC388" s="46"/>
      <c r="AD388" s="46"/>
      <c r="AE388" s="89"/>
      <c r="AF388" s="46"/>
      <c r="AG388" s="46"/>
      <c r="AH388" s="46"/>
      <c r="AI388" s="46"/>
    </row>
    <row r="389" spans="26:35">
      <c r="Z389" s="46"/>
      <c r="AA389" s="46"/>
      <c r="AB389" s="46"/>
      <c r="AC389" s="71"/>
      <c r="AD389" s="46"/>
      <c r="AE389" s="89"/>
      <c r="AF389" s="46"/>
      <c r="AG389" s="46"/>
      <c r="AH389" s="46"/>
      <c r="AI389" s="46"/>
    </row>
    <row r="390" spans="26:35">
      <c r="Z390" s="46"/>
      <c r="AA390" s="46"/>
      <c r="AB390" s="46"/>
      <c r="AC390" s="71"/>
      <c r="AD390" s="46"/>
      <c r="AE390" s="89"/>
      <c r="AF390" s="46"/>
      <c r="AG390" s="46"/>
      <c r="AH390" s="46"/>
      <c r="AI390" s="46"/>
    </row>
    <row r="391" spans="26:35">
      <c r="Z391" s="46"/>
      <c r="AA391" s="46"/>
      <c r="AB391" s="46"/>
      <c r="AC391" s="46"/>
      <c r="AD391" s="46"/>
      <c r="AE391" s="89"/>
      <c r="AF391" s="46"/>
      <c r="AG391" s="46"/>
      <c r="AH391" s="46"/>
      <c r="AI391" s="46"/>
    </row>
    <row r="392" spans="26:35">
      <c r="Z392" s="46"/>
      <c r="AA392" s="46"/>
      <c r="AB392" s="46"/>
      <c r="AC392" s="46"/>
      <c r="AD392" s="46"/>
      <c r="AE392" s="89"/>
      <c r="AF392" s="46"/>
      <c r="AG392" s="46"/>
      <c r="AH392" s="46"/>
      <c r="AI392" s="46"/>
    </row>
    <row r="393" spans="26:35">
      <c r="Z393" s="46"/>
      <c r="AA393" s="46"/>
      <c r="AB393" s="46"/>
      <c r="AC393" s="46"/>
      <c r="AD393" s="46"/>
      <c r="AE393" s="89"/>
      <c r="AF393" s="46"/>
      <c r="AG393" s="46"/>
      <c r="AH393" s="46"/>
      <c r="AI393" s="46"/>
    </row>
    <row r="394" spans="26:35">
      <c r="Z394" s="46"/>
      <c r="AA394" s="46"/>
      <c r="AB394" s="46"/>
      <c r="AC394" s="46"/>
      <c r="AD394" s="46"/>
      <c r="AE394" s="89"/>
      <c r="AF394" s="46"/>
      <c r="AG394" s="46"/>
      <c r="AH394" s="46"/>
      <c r="AI394" s="46"/>
    </row>
    <row r="395" spans="26:35">
      <c r="Z395" s="46"/>
      <c r="AA395" s="46"/>
      <c r="AB395" s="46"/>
      <c r="AC395" s="46"/>
      <c r="AD395" s="46"/>
      <c r="AE395" s="89"/>
      <c r="AF395" s="46"/>
      <c r="AG395" s="46"/>
      <c r="AH395" s="46"/>
      <c r="AI395" s="46"/>
    </row>
    <row r="396" spans="26:35">
      <c r="Z396" s="46"/>
      <c r="AA396" s="46"/>
      <c r="AB396" s="46"/>
      <c r="AC396" s="46"/>
      <c r="AD396" s="46"/>
      <c r="AE396" s="89"/>
      <c r="AF396" s="46"/>
      <c r="AG396" s="46"/>
      <c r="AH396" s="46"/>
      <c r="AI396" s="46"/>
    </row>
    <row r="397" spans="26:35">
      <c r="Z397" s="46"/>
      <c r="AA397" s="46"/>
      <c r="AB397" s="46"/>
      <c r="AC397" s="46"/>
      <c r="AD397" s="46"/>
      <c r="AE397" s="89"/>
      <c r="AF397" s="46"/>
      <c r="AG397" s="46"/>
      <c r="AH397" s="46"/>
      <c r="AI397" s="46"/>
    </row>
    <row r="398" spans="26:35">
      <c r="Z398" s="46"/>
      <c r="AA398" s="46"/>
      <c r="AB398" s="46"/>
      <c r="AC398" s="46"/>
      <c r="AD398" s="46"/>
      <c r="AE398" s="89"/>
      <c r="AF398" s="46"/>
      <c r="AG398" s="135"/>
      <c r="AH398" s="46"/>
      <c r="AI398" s="46"/>
    </row>
    <row r="399" spans="26:35">
      <c r="Z399" s="46"/>
      <c r="AA399" s="46"/>
      <c r="AB399" s="46"/>
      <c r="AC399" s="46"/>
      <c r="AD399" s="46"/>
      <c r="AE399" s="89"/>
      <c r="AG399" s="135"/>
      <c r="AH399" s="46"/>
      <c r="AI399" s="46"/>
    </row>
    <row r="400" spans="26:35">
      <c r="Z400" s="46"/>
      <c r="AA400" s="46"/>
      <c r="AB400" s="46"/>
      <c r="AC400" s="46"/>
      <c r="AD400" s="46"/>
      <c r="AE400" s="89"/>
      <c r="AG400" s="135"/>
      <c r="AH400" s="46"/>
      <c r="AI400" s="46"/>
    </row>
    <row r="401" spans="26:35">
      <c r="Z401" s="46"/>
      <c r="AA401" s="46"/>
      <c r="AB401" s="46"/>
      <c r="AC401" s="46"/>
      <c r="AD401" s="46"/>
      <c r="AE401" s="89"/>
      <c r="AG401" s="135"/>
      <c r="AH401" s="46"/>
      <c r="AI401" s="46"/>
    </row>
    <row r="402" spans="26:35">
      <c r="Z402" s="46"/>
      <c r="AA402" s="46"/>
      <c r="AB402" s="46"/>
      <c r="AC402" s="46"/>
      <c r="AD402" s="46"/>
      <c r="AE402" s="89"/>
      <c r="AG402" s="135"/>
      <c r="AH402" s="46"/>
      <c r="AI402" s="46"/>
    </row>
    <row r="403" spans="26:35">
      <c r="Z403" s="46"/>
      <c r="AA403" s="46"/>
      <c r="AB403" s="46"/>
      <c r="AC403" s="46"/>
      <c r="AD403" s="46"/>
      <c r="AE403" s="89"/>
      <c r="AG403" s="135"/>
      <c r="AH403" s="46"/>
      <c r="AI403" s="46"/>
    </row>
    <row r="404" spans="26:35">
      <c r="Z404" s="46"/>
      <c r="AA404" s="46"/>
      <c r="AB404" s="46"/>
      <c r="AC404" s="46"/>
      <c r="AD404" s="46"/>
      <c r="AE404" s="89"/>
      <c r="AG404" s="135"/>
      <c r="AH404" s="46"/>
      <c r="AI404" s="46"/>
    </row>
    <row r="405" spans="26:35">
      <c r="Z405" s="46"/>
      <c r="AA405" s="46"/>
      <c r="AB405" s="46"/>
      <c r="AC405" s="46"/>
      <c r="AD405" s="46"/>
      <c r="AE405" s="89"/>
      <c r="AF405" s="46"/>
      <c r="AG405" s="46"/>
      <c r="AH405" s="46"/>
      <c r="AI405" s="46"/>
    </row>
    <row r="406" spans="26:35">
      <c r="Z406" s="46"/>
      <c r="AB406" s="46"/>
      <c r="AD406" s="46"/>
      <c r="AE406" s="136"/>
      <c r="AF406" s="71"/>
      <c r="AG406" s="46"/>
      <c r="AH406" s="46"/>
      <c r="AI406" s="46"/>
    </row>
    <row r="407" spans="26:35">
      <c r="Z407" s="46"/>
      <c r="AD407" s="46"/>
      <c r="AE407" s="136"/>
      <c r="AF407" s="71"/>
      <c r="AG407" s="46"/>
      <c r="AH407" s="46"/>
      <c r="AI407" s="46"/>
    </row>
    <row r="408" spans="26:35">
      <c r="AD408" s="46"/>
      <c r="AE408" s="136"/>
      <c r="AF408" s="71"/>
      <c r="AG408" s="46"/>
      <c r="AH408" s="46"/>
      <c r="AI408" s="46"/>
    </row>
    <row r="409" spans="26:35">
      <c r="AD409" s="46"/>
      <c r="AE409" s="89"/>
      <c r="AF409" s="46"/>
      <c r="AG409" s="46"/>
      <c r="AH409" s="46"/>
      <c r="AI409" s="46"/>
    </row>
  </sheetData>
  <dataConsolidate/>
  <mergeCells count="53">
    <mergeCell ref="D114:I114"/>
    <mergeCell ref="E119:G119"/>
    <mergeCell ref="D122:I122"/>
    <mergeCell ref="D123:I123"/>
    <mergeCell ref="D107:I107"/>
    <mergeCell ref="D109:I109"/>
    <mergeCell ref="D110:I110"/>
    <mergeCell ref="D113:I113"/>
    <mergeCell ref="D102:I102"/>
    <mergeCell ref="D103:I103"/>
    <mergeCell ref="D105:I105"/>
    <mergeCell ref="D106:I106"/>
    <mergeCell ref="D99:I100"/>
    <mergeCell ref="D98:I98"/>
    <mergeCell ref="B39:J39"/>
    <mergeCell ref="B40:J40"/>
    <mergeCell ref="A47:M48"/>
    <mergeCell ref="A49:M50"/>
    <mergeCell ref="H59:J59"/>
    <mergeCell ref="D92:I92"/>
    <mergeCell ref="D93:I93"/>
    <mergeCell ref="D94:I94"/>
    <mergeCell ref="D96:I96"/>
    <mergeCell ref="W25:Y27"/>
    <mergeCell ref="B32:J32"/>
    <mergeCell ref="B33:J33"/>
    <mergeCell ref="B34:J34"/>
    <mergeCell ref="B37:J37"/>
    <mergeCell ref="B38:J38"/>
    <mergeCell ref="B21:J21"/>
    <mergeCell ref="L21:M21"/>
    <mergeCell ref="B22:G22"/>
    <mergeCell ref="H22:J22"/>
    <mergeCell ref="L22:M22"/>
    <mergeCell ref="C24:C30"/>
    <mergeCell ref="D24:I30"/>
    <mergeCell ref="J24:L30"/>
    <mergeCell ref="B18:J18"/>
    <mergeCell ref="L18:M18"/>
    <mergeCell ref="B19:J19"/>
    <mergeCell ref="L19:M19"/>
    <mergeCell ref="B20:J20"/>
    <mergeCell ref="L20:M20"/>
    <mergeCell ref="G16:J16"/>
    <mergeCell ref="B17:J17"/>
    <mergeCell ref="L17:M17"/>
    <mergeCell ref="A3:M3"/>
    <mergeCell ref="A4:M4"/>
    <mergeCell ref="A5:M5"/>
    <mergeCell ref="B14:J14"/>
    <mergeCell ref="L14:M14"/>
    <mergeCell ref="B15:J15"/>
    <mergeCell ref="L15:M15"/>
  </mergeCells>
  <conditionalFormatting sqref="K40:K41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D24">
    <cfRule type="cellIs" dxfId="5" priority="1" operator="notEqual">
      <formula>"OK"</formula>
    </cfRule>
    <cfRule type="cellIs" dxfId="4" priority="2" operator="equal">
      <formula>"OK"</formula>
    </cfRule>
  </conditionalFormatting>
  <dataValidations count="15">
    <dataValidation type="decimal" operator="greaterThanOrEqual" allowBlank="1" showInputMessage="1" showErrorMessage="1" sqref="K22" xr:uid="{F78DBBCD-FD85-4214-98ED-B003F13357F8}">
      <formula1>0</formula1>
    </dataValidation>
    <dataValidation type="custom" showInputMessage="1" showErrorMessage="1" errorTitle="Invalid Entry!" error="Enter values betwee 0 and 120 that is also divisible by 8." promptTitle="Additional Horizontal Blank " prompt="This field is only applicable for RB version 3. Valid entry is between 0 and 120 and divisible by 8. &quot;0&quot; value corresponds to Horizontal Blank of 80 Pixels and &quot;120&quot; corresponds to Horizontal Blank of 200." sqref="K20" xr:uid="{A06BC3B7-ED63-4671-B59B-5DA8AB34C67B}">
      <formula1>AND(IF(Additional_HBlank&gt;=0, TRUE,FALSE),IF(Additional_HBlank&lt;=120, TRUE,FALSE),MOD(Additional_HBlank,8)=0)</formula1>
    </dataValidation>
    <dataValidation type="list" allowBlank="1" showDropDown="1" showInputMessage="1" showErrorMessage="1" errorTitle="Invalid Entry!" error="Please enter 2 or 3 for reduced blank version." sqref="K18" xr:uid="{80E93DBE-C48D-426F-B7A0-7960808B0BD7}">
      <formula1>"2,3"</formula1>
    </dataValidation>
    <dataValidation type="whole" errorStyle="warning" showInputMessage="1" showErrorMessage="1" error="Non-standard target bits per pixel (fractional part)" sqref="K36" xr:uid="{C70B79AE-5939-4CCD-959C-18127061C34C}">
      <formula1>0</formula1>
      <formula2>16</formula2>
    </dataValidation>
    <dataValidation type="whole" errorStyle="warning" showInputMessage="1" showErrorMessage="1" error="Non-standard target bits per pixel (integer part) shall be between 0 - 16" sqref="K35" xr:uid="{F45A032A-5B01-442D-8F5C-BAA67BF13116}">
      <formula1>0</formula1>
      <formula2>24</formula2>
    </dataValidation>
    <dataValidation type="custom" errorStyle="warning" showInputMessage="1" showErrorMessage="1" error="Non-Standard Link Rate" sqref="K34" xr:uid="{877C69FC-F0A4-4E6A-8CC2-ACF72E5EBD38}">
      <formula1>OR( DPRate=1.62, DPRate=2.7, DPRate=5.4, DPRate=8.1, DPRate=10, DPRate=13.5, DPRate=20)</formula1>
    </dataValidation>
    <dataValidation errorStyle="warning" showInputMessage="1" showErrorMessage="1" error="Non-Standard Link Rate" sqref="K37:K42" xr:uid="{4104611F-435F-4B43-B0C5-9EDA5996E0AE}"/>
    <dataValidation type="list" allowBlank="1" showInputMessage="1" showErrorMessage="1" sqref="K33" xr:uid="{B422EEB4-72A4-4F06-B054-40AC823D0A38}">
      <formula1>"1,2,4"</formula1>
    </dataValidation>
    <dataValidation type="list" operator="equal" allowBlank="1" showInputMessage="1" showErrorMessage="1" sqref="K32" xr:uid="{9F31CFF5-9F3D-4D4C-9B0A-5E90B5A2AB03}">
      <formula1>"6,8,10,12,16,18,20,24,30,36,48"</formula1>
    </dataValidation>
    <dataValidation type="custom" showInputMessage="1" showErrorMessage="1" errorTitle="Invalid Entry!" error="Please enter Y or N (Yes/No)." promptTitle="Video Optimized Rate" prompt="This field should be set to &quot;Y&quot; when Frame Rate is 60 Hz, 30 Hz, 24 Hz to get the CVT reduced blank version 2 timing for 59.94 Hz, 29.97 Hz and 23.976 Hz respectively." sqref="K19" xr:uid="{3460CD72-739F-45CB-962E-8689CC8D846A}">
      <formula1>OR(K19="Y",K19="N")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16" xr:uid="{6251B529-E3B9-411E-AEF1-349E6B7FB930}">
      <formula1>0</formula1>
    </dataValidation>
    <dataValidation type="custom" showInputMessage="1" showErrorMessage="1" errorTitle="Invalid Entry!" error="Please enter Y or N (Yes/No)." sqref="K21" xr:uid="{87BC45CC-E86F-4FE1-B871-FCA8BF7B89F8}">
      <formula1>OR(K21="Y",K21="N")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14" xr:uid="{D54417EE-9F22-46F9-87DC-2050F18A2C0E}">
      <formula1>0</formula1>
    </dataValidation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15" xr:uid="{16C9C77E-6897-45B7-845A-3D477157066E}">
      <formula1>0</formula1>
    </dataValidation>
    <dataValidation type="custom" showInputMessage="1" showErrorMessage="1" errorTitle="Invalid Entry!" error="CVT2.0 only supports reduced blank, Please enter Y (Yes)." sqref="K17" xr:uid="{6C50FA68-0D2B-4967-8E3E-426623467BD2}">
      <formula1>K17="Y"</formula1>
    </dataValidation>
  </dataValidations>
  <printOptions horizontalCentered="1" verticalCentered="1"/>
  <pageMargins left="0.5" right="0.5" top="0.56000000000000005" bottom="0.56000000000000005" header="0.5" footer="0.5"/>
  <pageSetup scale="28" orientation="portrait" horizontalDpi="4294967292" verticalDpi="300" r:id="rId1"/>
  <headerFooter alignWithMargins="0">
    <oddHeader>&amp;L&amp;"Arial"&amp;10&amp;K008000[Public]&amp;1#</oddHeader>
    <oddFooter>&amp;L&amp;"Times New Roman,Regular"&amp;14VESA Coordinated Video Timing Generator
(c) Copyright 2002 Video Electronics Standards Association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66C7-21E9-4297-A7E5-155AA6616C43}">
  <sheetPr>
    <pageSetUpPr fitToPage="1"/>
  </sheetPr>
  <dimension ref="A1:BF409"/>
  <sheetViews>
    <sheetView zoomScale="78" zoomScaleNormal="78" zoomScalePageLayoutView="70" workbookViewId="0">
      <selection activeCell="K21" sqref="K21"/>
    </sheetView>
  </sheetViews>
  <sheetFormatPr baseColWidth="10" defaultColWidth="8.83203125" defaultRowHeight="13"/>
  <cols>
    <col min="1" max="1" width="4.5" style="295" customWidth="1"/>
    <col min="2" max="2" width="21.5" style="295" customWidth="1"/>
    <col min="3" max="3" width="25.5" style="295" customWidth="1"/>
    <col min="4" max="4" width="31.5" style="295" customWidth="1"/>
    <col min="5" max="5" width="12.5" style="295" customWidth="1"/>
    <col min="6" max="6" width="42.5" style="295" customWidth="1"/>
    <col min="7" max="7" width="15.5" style="295" customWidth="1"/>
    <col min="8" max="8" width="20.5" style="295" customWidth="1"/>
    <col min="9" max="9" width="15.5" style="295" customWidth="1"/>
    <col min="10" max="10" width="70.33203125" style="295" customWidth="1"/>
    <col min="11" max="11" width="23.1640625" style="295" customWidth="1"/>
    <col min="12" max="12" width="34.5" style="295" customWidth="1"/>
    <col min="13" max="13" width="38.5" style="295" customWidth="1"/>
    <col min="14" max="14" width="6.5" style="295" customWidth="1"/>
    <col min="15" max="15" width="6.5" style="297" customWidth="1"/>
    <col min="16" max="16" width="34.5" style="300" customWidth="1"/>
    <col min="17" max="17" width="19.5" style="296" customWidth="1"/>
    <col min="18" max="18" width="6.5" style="299" customWidth="1"/>
    <col min="19" max="19" width="6.5" style="298" customWidth="1"/>
    <col min="20" max="20" width="34.5" style="295" customWidth="1"/>
    <col min="21" max="21" width="19.5" style="295" customWidth="1"/>
    <col min="22" max="22" width="6.5" style="295" customWidth="1"/>
    <col min="23" max="23" width="6.5" style="297" customWidth="1"/>
    <col min="24" max="24" width="55" style="295" customWidth="1"/>
    <col min="25" max="25" width="19.5" style="295" customWidth="1"/>
    <col min="26" max="27" width="6.5" style="295" customWidth="1"/>
    <col min="28" max="28" width="56.1640625" style="295" customWidth="1"/>
    <col min="29" max="29" width="16.1640625" style="295" customWidth="1"/>
    <col min="30" max="30" width="14.1640625" style="295" customWidth="1"/>
    <col min="31" max="31" width="16.5" style="296" customWidth="1"/>
    <col min="32" max="32" width="6.5" style="295" customWidth="1"/>
    <col min="33" max="33" width="9.5" style="295" customWidth="1"/>
    <col min="34" max="34" width="6.5" style="295" customWidth="1"/>
    <col min="35" max="35" width="12.5" style="295" customWidth="1"/>
    <col min="36" max="40" width="6.5" style="295" customWidth="1"/>
    <col min="41" max="41" width="10.1640625" style="295" customWidth="1"/>
    <col min="42" max="42" width="9.83203125" style="295" customWidth="1"/>
    <col min="43" max="43" width="12.1640625" style="295" customWidth="1"/>
    <col min="44" max="44" width="6.5" style="295" customWidth="1"/>
    <col min="45" max="45" width="9" style="295" customWidth="1"/>
    <col min="46" max="46" width="6.5" style="295" customWidth="1"/>
    <col min="47" max="47" width="9.5" style="295" customWidth="1"/>
    <col min="48" max="52" width="6.5" style="295" customWidth="1"/>
    <col min="53" max="16384" width="8.83203125" style="295"/>
  </cols>
  <sheetData>
    <row r="1" spans="1:58" ht="45">
      <c r="A1" s="563" t="s">
        <v>138</v>
      </c>
      <c r="B1" s="561"/>
      <c r="C1" s="562"/>
      <c r="D1" s="561"/>
      <c r="E1" s="561"/>
      <c r="F1" s="561"/>
      <c r="G1" s="561"/>
      <c r="H1" s="561"/>
      <c r="I1" s="561"/>
      <c r="J1" s="561"/>
      <c r="K1" s="561"/>
      <c r="L1" s="561"/>
      <c r="M1" s="561"/>
      <c r="R1" s="295"/>
      <c r="S1" s="297"/>
    </row>
    <row r="2" spans="1:58" ht="45">
      <c r="A2" s="563" t="s">
        <v>139</v>
      </c>
      <c r="B2" s="561"/>
      <c r="C2" s="562"/>
      <c r="D2" s="561"/>
      <c r="E2" s="561"/>
      <c r="F2" s="561"/>
      <c r="G2" s="561"/>
      <c r="H2" s="561"/>
      <c r="I2" s="561"/>
      <c r="J2" s="561"/>
      <c r="K2" s="561"/>
      <c r="L2" s="561"/>
      <c r="M2" s="561"/>
      <c r="R2" s="295"/>
      <c r="S2" s="297"/>
    </row>
    <row r="3" spans="1:58" ht="40" customHeight="1">
      <c r="A3" s="635" t="s">
        <v>315</v>
      </c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R3" s="295"/>
      <c r="S3" s="297"/>
    </row>
    <row r="4" spans="1:58" ht="30" customHeight="1">
      <c r="A4" s="636" t="s">
        <v>333</v>
      </c>
      <c r="B4" s="636"/>
      <c r="C4" s="636"/>
      <c r="D4" s="636"/>
      <c r="E4" s="636"/>
      <c r="F4" s="636"/>
      <c r="G4" s="636"/>
      <c r="H4" s="636"/>
      <c r="I4" s="636"/>
      <c r="J4" s="636"/>
      <c r="K4" s="636"/>
      <c r="L4" s="636"/>
      <c r="M4" s="636"/>
      <c r="R4" s="295"/>
      <c r="S4" s="297"/>
    </row>
    <row r="5" spans="1:58" ht="30" customHeight="1">
      <c r="A5" s="637" t="s">
        <v>257</v>
      </c>
      <c r="B5" s="637"/>
      <c r="C5" s="637"/>
      <c r="D5" s="637"/>
      <c r="E5" s="637"/>
      <c r="F5" s="637"/>
      <c r="G5" s="637"/>
      <c r="H5" s="637"/>
      <c r="I5" s="637"/>
      <c r="J5" s="637"/>
      <c r="K5" s="637"/>
      <c r="L5" s="637"/>
      <c r="M5" s="637"/>
      <c r="R5" s="295"/>
      <c r="S5" s="297"/>
    </row>
    <row r="6" spans="1:58" s="377" customFormat="1" ht="16">
      <c r="O6" s="558"/>
      <c r="P6" s="560"/>
      <c r="Q6" s="559"/>
      <c r="S6" s="558"/>
      <c r="W6" s="558"/>
      <c r="AE6" s="559"/>
    </row>
    <row r="7" spans="1:58" s="377" customFormat="1" ht="16">
      <c r="O7" s="558"/>
      <c r="P7" s="560"/>
      <c r="Q7" s="559"/>
      <c r="S7" s="558"/>
      <c r="W7" s="557"/>
    </row>
    <row r="8" spans="1:58" s="377" customFormat="1" ht="16">
      <c r="O8" s="558"/>
      <c r="P8" s="560"/>
      <c r="Q8" s="559"/>
      <c r="S8" s="558"/>
      <c r="W8" s="557"/>
    </row>
    <row r="9" spans="1:58" ht="25" customHeight="1">
      <c r="A9" s="397" t="s">
        <v>172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554"/>
      <c r="R9" s="295"/>
      <c r="S9" s="297"/>
    </row>
    <row r="10" spans="1:58" ht="25" customHeight="1" thickBot="1">
      <c r="A10" s="556" t="s">
        <v>137</v>
      </c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4"/>
      <c r="R10" s="295"/>
      <c r="S10" s="297"/>
    </row>
    <row r="11" spans="1:58" ht="25" customHeight="1" thickTop="1">
      <c r="A11" s="553"/>
      <c r="B11" s="393"/>
      <c r="C11" s="393"/>
      <c r="D11" s="393"/>
      <c r="E11" s="393"/>
      <c r="F11" s="393"/>
      <c r="G11" s="393"/>
      <c r="H11" s="393"/>
      <c r="I11" s="393"/>
      <c r="J11" s="552"/>
      <c r="K11" s="552"/>
      <c r="L11" s="510"/>
      <c r="M11" s="551"/>
      <c r="O11" s="543" t="s">
        <v>81</v>
      </c>
      <c r="P11" s="497"/>
      <c r="Q11" s="496"/>
      <c r="R11" s="295"/>
      <c r="S11" s="543" t="s">
        <v>157</v>
      </c>
      <c r="T11" s="528"/>
      <c r="U11" s="496"/>
      <c r="W11" s="543" t="s">
        <v>54</v>
      </c>
      <c r="X11" s="528"/>
      <c r="Y11" s="496"/>
      <c r="AA11" s="529" t="s">
        <v>135</v>
      </c>
      <c r="AB11" s="528"/>
      <c r="AC11" s="527"/>
      <c r="AE11" s="295"/>
      <c r="BF11" s="301"/>
    </row>
    <row r="12" spans="1:58" ht="25" customHeight="1">
      <c r="A12" s="358"/>
      <c r="B12" s="308"/>
      <c r="C12" s="308"/>
      <c r="D12" s="308"/>
      <c r="E12" s="308"/>
      <c r="F12" s="308"/>
      <c r="G12" s="308"/>
      <c r="H12" s="308"/>
      <c r="I12" s="308"/>
      <c r="J12" s="296"/>
      <c r="K12" s="296"/>
      <c r="M12" s="550"/>
      <c r="O12" s="549"/>
      <c r="Q12" s="484"/>
      <c r="R12" s="295"/>
      <c r="S12" s="549"/>
      <c r="U12" s="484"/>
      <c r="W12" s="443"/>
      <c r="X12" s="295" t="s">
        <v>307</v>
      </c>
      <c r="Y12" s="482">
        <f>K147</f>
        <v>460</v>
      </c>
      <c r="AA12" s="526"/>
      <c r="AC12" s="525"/>
      <c r="AE12" s="295"/>
      <c r="BF12" s="301"/>
    </row>
    <row r="13" spans="1:58" ht="25" customHeight="1" thickBot="1">
      <c r="A13" s="358"/>
      <c r="B13" s="308"/>
      <c r="C13" s="308"/>
      <c r="D13" s="308"/>
      <c r="E13" s="308"/>
      <c r="F13" s="308"/>
      <c r="G13" s="308"/>
      <c r="H13" s="308"/>
      <c r="I13" s="308"/>
      <c r="J13" s="296"/>
      <c r="K13" s="296"/>
      <c r="M13" s="550"/>
      <c r="O13" s="549"/>
      <c r="Q13" s="484"/>
      <c r="R13" s="295"/>
      <c r="S13" s="549"/>
      <c r="U13" s="484"/>
      <c r="W13" s="443"/>
      <c r="X13" s="301" t="s">
        <v>110</v>
      </c>
      <c r="Y13" s="482">
        <f>K145</f>
        <v>32</v>
      </c>
      <c r="AA13" s="526"/>
      <c r="AC13" s="525"/>
      <c r="AE13" s="295"/>
      <c r="BF13" s="301"/>
    </row>
    <row r="14" spans="1:58" ht="40" customHeight="1" thickTop="1" thickBot="1">
      <c r="A14" s="358"/>
      <c r="B14" s="638" t="s">
        <v>273</v>
      </c>
      <c r="C14" s="638"/>
      <c r="D14" s="638"/>
      <c r="E14" s="638"/>
      <c r="F14" s="638"/>
      <c r="G14" s="638"/>
      <c r="H14" s="638"/>
      <c r="I14" s="638"/>
      <c r="J14" s="639"/>
      <c r="K14" s="548">
        <v>1920</v>
      </c>
      <c r="L14" s="640" t="str">
        <f>IF(H_PIXELS&lt;&gt;H_PIXELS_RND,"ERROR! - Not Divisible by "&amp;CELL_GRAN&amp;", rounded to Nearest Character Cell","")</f>
        <v/>
      </c>
      <c r="M14" s="641"/>
      <c r="O14" s="546"/>
      <c r="P14" s="547" t="s">
        <v>112</v>
      </c>
      <c r="Q14" s="482">
        <f>ROUNDDOWN(CELL_GRAN,0)</f>
        <v>8</v>
      </c>
      <c r="R14" s="295"/>
      <c r="S14" s="443"/>
      <c r="T14" s="297" t="s">
        <v>160</v>
      </c>
      <c r="U14" s="482">
        <f>K121</f>
        <v>550</v>
      </c>
      <c r="W14" s="443"/>
      <c r="X14" s="295" t="s">
        <v>111</v>
      </c>
      <c r="Y14" s="482">
        <f>K141 + IF(AND((RED_BLANK_RQD="y"),(RED_BLANK_VER=3)), 0, 0)</f>
        <v>160</v>
      </c>
      <c r="AA14" s="539">
        <v>1</v>
      </c>
      <c r="AB14" s="295" t="str">
        <f>IF(OR(
               H_PIXELS="",
               V_LINES="",
               MARGINS_RQD="",
AND(OR(RED_BLANK_RQD="N",
                                AND(RED_BLANK_RQD="Y",RED_BLANK_VER&lt;&gt;3)),
                        INT_RQD=""),
               IP_FREQ_RQD="",
               RED_BLANK_RQD="",
               AND(RED_BLANK_RQD="Y",
                         RED_BLANK_VER&lt;&gt;1,RED_BLANK_VER&lt;&gt;2,RED_BLANK_VER&lt;&gt;3)
              ),"ERROR!  Invalid Input Parameters","")</f>
        <v/>
      </c>
      <c r="AC14" s="525" t="str">
        <f>IF(OR(H_PIXELS="",V_LINES="",MARGINS_RQD="",INT_RQD="",IP_FREQ_RQD="",RED_BLANK_RQD=""),"Yes","")</f>
        <v/>
      </c>
      <c r="AE14" s="295"/>
      <c r="BF14" s="301"/>
    </row>
    <row r="15" spans="1:58" ht="40" customHeight="1" thickTop="1" thickBot="1">
      <c r="A15" s="358"/>
      <c r="B15" s="638" t="s">
        <v>271</v>
      </c>
      <c r="C15" s="638"/>
      <c r="D15" s="638"/>
      <c r="E15" s="638"/>
      <c r="F15" s="638"/>
      <c r="G15" s="638"/>
      <c r="H15" s="638"/>
      <c r="I15" s="638"/>
      <c r="J15" s="639"/>
      <c r="K15" s="548">
        <v>1080</v>
      </c>
      <c r="L15" s="640" t="str">
        <f>IF((V_LINES/IF(INT_RQD="y",2,1))&lt;&gt;V_LINES_RND,"WARNING! - Rounded to Nearest Whole Line","")</f>
        <v/>
      </c>
      <c r="M15" s="641"/>
      <c r="O15" s="546"/>
      <c r="P15" s="547" t="s">
        <v>113</v>
      </c>
      <c r="Q15" s="482">
        <f>$K$102</f>
        <v>1.8</v>
      </c>
      <c r="R15" s="295"/>
      <c r="S15" s="443"/>
      <c r="T15" s="547" t="s">
        <v>108</v>
      </c>
      <c r="U15" s="482">
        <f>K115</f>
        <v>8</v>
      </c>
      <c r="W15" s="443"/>
      <c r="Y15" s="482"/>
      <c r="AA15" s="539">
        <v>2</v>
      </c>
      <c r="AB15" s="541" t="str">
        <f>IF(H_PIXELS&lt;&gt;H_PIXELS_RND,"ERROR!  Horizontal Pixel Not Divisible by "&amp;CELL_GRAN&amp;", Count Rounded to Nearest Character Cell","")</f>
        <v/>
      </c>
      <c r="AC15" s="525"/>
      <c r="AE15" s="295"/>
      <c r="BF15" s="301"/>
    </row>
    <row r="16" spans="1:58" ht="64.5" customHeight="1" thickTop="1" thickBot="1">
      <c r="A16" s="358"/>
      <c r="B16" s="638" t="s">
        <v>253</v>
      </c>
      <c r="C16" s="638"/>
      <c r="D16" s="638"/>
      <c r="E16" s="638"/>
      <c r="F16" s="638"/>
      <c r="G16" s="638"/>
      <c r="H16" s="638"/>
      <c r="I16" s="638"/>
      <c r="J16" s="639"/>
      <c r="K16" s="540" t="s">
        <v>1</v>
      </c>
      <c r="L16" s="642" t="s">
        <v>311</v>
      </c>
      <c r="M16" s="643"/>
      <c r="O16" s="546"/>
      <c r="P16" s="521" t="s">
        <v>242</v>
      </c>
      <c r="Q16" s="482">
        <f>ROUNDDOWN(MIN_V_FPORCH,0)</f>
        <v>3</v>
      </c>
      <c r="R16" s="295"/>
      <c r="S16" s="443"/>
      <c r="U16" s="482"/>
      <c r="W16" s="498" t="s">
        <v>82</v>
      </c>
      <c r="X16" s="528"/>
      <c r="Y16" s="496"/>
      <c r="AA16" s="539">
        <v>3</v>
      </c>
      <c r="AB16" s="295" t="str">
        <f>IF(V_LINES&lt;&gt;(V_LINES_RND*IF(INT_RQD="Y",2,1)),"WARNING!  Vertical Pixel Count Rounded To Nearest Integer  ","")</f>
        <v/>
      </c>
      <c r="AC16" s="525"/>
      <c r="AE16" s="295"/>
      <c r="BF16" s="301"/>
    </row>
    <row r="17" spans="1:58" ht="69" customHeight="1" thickTop="1" thickBot="1">
      <c r="A17" s="358"/>
      <c r="B17" s="638" t="s">
        <v>254</v>
      </c>
      <c r="C17" s="638"/>
      <c r="D17" s="638"/>
      <c r="E17" s="638"/>
      <c r="F17" s="638"/>
      <c r="G17" s="638"/>
      <c r="H17" s="638"/>
      <c r="I17" s="638"/>
      <c r="J17" s="639"/>
      <c r="K17" s="540" t="s">
        <v>1</v>
      </c>
      <c r="L17" s="642" t="s">
        <v>311</v>
      </c>
      <c r="M17" s="643"/>
      <c r="O17" s="546"/>
      <c r="P17" s="300" t="s">
        <v>261</v>
      </c>
      <c r="Q17" s="482">
        <v>350</v>
      </c>
      <c r="R17" s="295"/>
      <c r="S17" s="432"/>
      <c r="T17" s="476"/>
      <c r="U17" s="531"/>
      <c r="W17" s="443">
        <f>O46+1</f>
        <v>8</v>
      </c>
      <c r="X17" s="533" t="s">
        <v>124</v>
      </c>
      <c r="Y17" s="482"/>
      <c r="AA17" s="539">
        <v>4</v>
      </c>
      <c r="AB17" s="295" t="str">
        <f>IF(F55="Not Standard","WARNING!  Aspect Ratio Not CVT Standard","")</f>
        <v/>
      </c>
      <c r="AC17" s="525"/>
      <c r="AE17" s="295"/>
      <c r="BF17" s="301"/>
    </row>
    <row r="18" spans="1:58" ht="45.75" customHeight="1" thickTop="1" thickBot="1">
      <c r="A18" s="358"/>
      <c r="B18" s="538" t="s">
        <v>272</v>
      </c>
      <c r="C18" s="538"/>
      <c r="G18" s="669" t="str">
        <f>"NOTE: Actual frame rate will be within "&amp;ROUND(FrameRate_Error,6)&amp;" Hz due to pixel clock rounding to "&amp;CLOCK_STEP&amp;"MHz. Actual frame rate is off target by "&amp;ROUND(FrameRate_Error/IP_FREQ_RQD*1000000,2)&amp;" ppm."</f>
        <v>NOTE: Actual frame rate will be within 0 Hz due to pixel clock rounding to 0.25MHz. Actual frame rate is off target by 0 ppm.</v>
      </c>
      <c r="H18" s="670"/>
      <c r="I18" s="670"/>
      <c r="J18" s="671"/>
      <c r="K18" s="545">
        <v>60</v>
      </c>
      <c r="L18" s="544" t="s">
        <v>9</v>
      </c>
      <c r="M18" s="534"/>
      <c r="O18" s="543" t="s">
        <v>56</v>
      </c>
      <c r="P18" s="497"/>
      <c r="Q18" s="496"/>
      <c r="R18" s="295"/>
      <c r="S18" s="542" t="s">
        <v>82</v>
      </c>
      <c r="U18" s="484"/>
      <c r="W18" s="443"/>
      <c r="X18" s="301" t="s">
        <v>116</v>
      </c>
      <c r="Y18" s="482">
        <f>((1000000/V_FIELD_RATE_RQD)-RB_MIN_V_BLANK)/(V_LINES_RND+TOP_MARGIN+BOT_MARGIN)</f>
        <v>15.006172839506174</v>
      </c>
      <c r="AA18" s="539">
        <v>5</v>
      </c>
      <c r="AB18" s="295" t="str">
        <f xml:space="preserve"> IF(RED_BLANK_RQD="n",
         IF(OR(IP_FREQ_RQD=50,IP_FREQ_RQD=60,IP_FREQ_RQD=75,IP_FREQ_RQD=85),
             "",
             "WARNING!  Refresh Rate not standard for CVT Standard Blanking"),
         "")</f>
        <v/>
      </c>
      <c r="AC18" s="525"/>
      <c r="AE18" s="295"/>
      <c r="BF18" s="301"/>
    </row>
    <row r="19" spans="1:58" ht="40" customHeight="1" thickTop="1" thickBot="1">
      <c r="A19" s="358"/>
      <c r="B19" s="638" t="s">
        <v>252</v>
      </c>
      <c r="C19" s="638"/>
      <c r="D19" s="638"/>
      <c r="E19" s="638"/>
      <c r="F19" s="638"/>
      <c r="G19" s="638"/>
      <c r="H19" s="638"/>
      <c r="I19" s="638"/>
      <c r="J19" s="639"/>
      <c r="K19" s="540" t="s">
        <v>169</v>
      </c>
      <c r="L19" s="640"/>
      <c r="M19" s="641"/>
      <c r="O19" s="443">
        <v>1</v>
      </c>
      <c r="P19" s="300" t="s">
        <v>115</v>
      </c>
      <c r="Q19" s="484"/>
      <c r="R19" s="295"/>
      <c r="S19" s="443">
        <f>O46+1</f>
        <v>8</v>
      </c>
      <c r="T19" s="533" t="s">
        <v>124</v>
      </c>
      <c r="U19" s="482"/>
      <c r="W19" s="443"/>
      <c r="Y19" s="484"/>
      <c r="AA19" s="539">
        <v>6</v>
      </c>
      <c r="AB19" s="541" t="str">
        <f>IF(AND(RED_BLANK_RQD="Y",IP_FREQ_RQD&lt;&gt;60),
       IF(RED_BLANK_VER=1,
            "Note: The standard Refresh Rate for CVT Reduced Blanking v1 is 60 Hz, but other refresh rates are permitted.",
            IF(RED_BLANK_VER=2,
                 "Note: The standard Refresh Rate for CVT Reduced Blanking v2 is 60 Hz, but other refresh rates are permitted.",
                 "")),
       "")</f>
        <v/>
      </c>
      <c r="AC19" s="525"/>
      <c r="AE19" s="295"/>
      <c r="BF19" s="301"/>
    </row>
    <row r="20" spans="1:58" ht="40" customHeight="1" thickTop="1" thickBot="1">
      <c r="A20" s="358"/>
      <c r="B20" s="638" t="s">
        <v>310</v>
      </c>
      <c r="C20" s="638"/>
      <c r="D20" s="638"/>
      <c r="E20" s="638"/>
      <c r="F20" s="638"/>
      <c r="G20" s="638"/>
      <c r="H20" s="638"/>
      <c r="I20" s="638"/>
      <c r="J20" s="639"/>
      <c r="K20" s="540">
        <v>1</v>
      </c>
      <c r="L20" s="642" t="s">
        <v>258</v>
      </c>
      <c r="M20" s="643"/>
      <c r="O20" s="443"/>
      <c r="P20" s="307" t="s">
        <v>114</v>
      </c>
      <c r="Q20" s="482">
        <f>IF(INT_RQD="y",IP_FREQ_RQD*2,IP_FREQ_RQD+(PixelClockPPMAdj/1000000)*IP_FREQ_RQD)</f>
        <v>60</v>
      </c>
      <c r="R20" s="295"/>
      <c r="S20" s="443"/>
      <c r="T20" s="301" t="s">
        <v>116</v>
      </c>
      <c r="U20" s="482">
        <f>((1/V_FIELD_RATE_RQD)-MIN_VSYNC_BP/1000000)/(V_LINES_RND+(2*TOP_MARGIN)+MIN_V_FPORCH_RND+INTERLACE)*1000000</f>
        <v>14.881502000615574</v>
      </c>
      <c r="W20" s="443">
        <f>W17+1</f>
        <v>9</v>
      </c>
      <c r="X20" s="301" t="s">
        <v>131</v>
      </c>
      <c r="Y20" s="482"/>
      <c r="AA20" s="539">
        <v>7</v>
      </c>
      <c r="AB20" s="295" t="str">
        <f>IF(AND(MARGINS_RQD="y",RED_BLANK_RQD="Y",OR(RED_BLANK_VER=2,RED_BLANK_VER=3)),"ERROR: Margins prohibited for Reduced Blanking v"&amp;RED_BLANK_VER,"")</f>
        <v/>
      </c>
      <c r="AC20" s="525"/>
      <c r="AE20" s="295"/>
      <c r="BF20" s="301"/>
    </row>
    <row r="21" spans="1:58" ht="75" customHeight="1" thickTop="1">
      <c r="A21" s="358"/>
      <c r="B21" s="538"/>
      <c r="C21" s="538"/>
      <c r="G21" s="537"/>
      <c r="H21" s="536"/>
      <c r="I21" s="536"/>
      <c r="J21" s="300"/>
      <c r="K21" s="535"/>
      <c r="M21" s="534"/>
      <c r="O21" s="443"/>
      <c r="P21" s="307"/>
      <c r="Q21" s="482"/>
      <c r="R21" s="295"/>
      <c r="S21" s="443"/>
      <c r="U21" s="484"/>
      <c r="W21" s="443"/>
      <c r="X21" s="533"/>
      <c r="Y21" s="482"/>
      <c r="AA21" s="539">
        <v>8</v>
      </c>
      <c r="AB21" s="295" t="str">
        <f>IF(AND(INT_RQD="y",RED_BLANK_RQD="Y",OR(RED_BLANK_VER=2,RED_BLANK_VER=3)),"ERROR: Interlaced prohibited for Reduced Blanking v"&amp;RED_BLANK_VER,"")</f>
        <v/>
      </c>
      <c r="AC21" s="525"/>
      <c r="AE21" s="295"/>
      <c r="BF21" s="301"/>
    </row>
    <row r="22" spans="1:58" ht="75" customHeight="1">
      <c r="A22" s="358"/>
      <c r="B22" s="522"/>
      <c r="C22" s="645" t="s">
        <v>71</v>
      </c>
      <c r="D22" s="647" t="str">
        <f>IF(AA32="","OK",IF(ISNUMBER(SEARCH("error",AA32)),AA32,"OK"))</f>
        <v>OK</v>
      </c>
      <c r="E22" s="648"/>
      <c r="F22" s="648"/>
      <c r="G22" s="648"/>
      <c r="H22" s="648"/>
      <c r="I22" s="648"/>
      <c r="J22" s="653" t="str">
        <f>IF(ISNUMBER(SEARCH("warning",AA32)),AA32,"")&amp;IF(ISNUMBER(SEARCH("warning",M96)),M96,"")</f>
        <v/>
      </c>
      <c r="K22" s="654"/>
      <c r="L22" s="655"/>
      <c r="M22" s="516"/>
      <c r="O22" s="443">
        <f>O19+1</f>
        <v>2</v>
      </c>
      <c r="P22" s="307" t="s">
        <v>75</v>
      </c>
      <c r="Q22" s="482"/>
      <c r="R22" s="295"/>
      <c r="S22" s="443">
        <f>S19+1</f>
        <v>9</v>
      </c>
      <c r="T22" s="295" t="s">
        <v>125</v>
      </c>
      <c r="U22" s="484"/>
      <c r="W22" s="443"/>
      <c r="X22" s="533"/>
      <c r="Y22" s="482"/>
      <c r="AA22" s="539">
        <v>9</v>
      </c>
      <c r="AB22" s="295" t="str">
        <f>""</f>
        <v/>
      </c>
      <c r="AC22" s="525"/>
      <c r="AE22" s="295"/>
      <c r="BF22" s="301"/>
    </row>
    <row r="23" spans="1:58" ht="75" customHeight="1">
      <c r="A23" s="358"/>
      <c r="B23" s="522"/>
      <c r="C23" s="646"/>
      <c r="D23" s="649"/>
      <c r="E23" s="650"/>
      <c r="F23" s="650"/>
      <c r="G23" s="650"/>
      <c r="H23" s="650"/>
      <c r="I23" s="650"/>
      <c r="J23" s="656"/>
      <c r="K23" s="657"/>
      <c r="L23" s="658"/>
      <c r="M23" s="516"/>
      <c r="O23" s="443"/>
      <c r="P23" s="307"/>
      <c r="Q23" s="482"/>
      <c r="R23" s="295"/>
      <c r="S23" s="443"/>
      <c r="U23" s="484"/>
      <c r="W23" s="443"/>
      <c r="X23" s="533"/>
      <c r="Y23" s="482"/>
      <c r="AA23" s="539">
        <v>10</v>
      </c>
      <c r="AB23" s="295" t="str">
        <f>""</f>
        <v/>
      </c>
      <c r="AC23" s="525"/>
      <c r="AE23" s="295"/>
      <c r="BF23" s="301"/>
    </row>
    <row r="24" spans="1:58" ht="75" customHeight="1">
      <c r="A24" s="358"/>
      <c r="B24" s="522"/>
      <c r="C24" s="646"/>
      <c r="D24" s="649"/>
      <c r="E24" s="650"/>
      <c r="F24" s="650"/>
      <c r="G24" s="650"/>
      <c r="H24" s="650"/>
      <c r="I24" s="650"/>
      <c r="J24" s="656"/>
      <c r="K24" s="657"/>
      <c r="L24" s="658"/>
      <c r="M24" s="516"/>
      <c r="O24" s="443"/>
      <c r="P24" s="307"/>
      <c r="Q24" s="482"/>
      <c r="R24" s="295"/>
      <c r="S24" s="443"/>
      <c r="U24" s="484"/>
      <c r="W24" s="443"/>
      <c r="X24" s="301" t="s">
        <v>107</v>
      </c>
      <c r="Y24" s="482">
        <f>ROUNDDOWN(RB_MIN_V_BLANK/RB_H_PERIOD_EST,0)+1</f>
        <v>31</v>
      </c>
      <c r="AA24" s="539">
        <v>11</v>
      </c>
      <c r="AB24" s="564" t="str">
        <f>""</f>
        <v/>
      </c>
      <c r="AC24" s="565"/>
      <c r="AE24" s="295"/>
      <c r="BF24" s="301"/>
    </row>
    <row r="25" spans="1:58" ht="25" customHeight="1" thickBot="1">
      <c r="A25" s="358"/>
      <c r="B25" s="522"/>
      <c r="C25" s="646"/>
      <c r="D25" s="649"/>
      <c r="E25" s="650"/>
      <c r="F25" s="650"/>
      <c r="G25" s="650"/>
      <c r="H25" s="650"/>
      <c r="I25" s="650"/>
      <c r="J25" s="656"/>
      <c r="K25" s="657"/>
      <c r="L25" s="658"/>
      <c r="M25" s="516"/>
      <c r="O25" s="443"/>
      <c r="P25" s="307"/>
      <c r="Q25" s="482"/>
      <c r="R25" s="295"/>
      <c r="S25" s="443"/>
      <c r="U25" s="484"/>
      <c r="W25" s="443"/>
      <c r="X25" s="295" t="s">
        <v>55</v>
      </c>
      <c r="Y25" s="484">
        <f>RB_MIN_V_BLANK/RB_H_PERIOD_EST</f>
        <v>30.654051830522416</v>
      </c>
      <c r="AA25" s="532">
        <v>12</v>
      </c>
      <c r="AB25" s="566" t="str">
        <f>IF(AND(RED_BLANK_RQD="Y",OR(RED_BLANK_VER=2,RED_BLANK_VER=3)),"WARNING! Use CVTr2.0 generator for latest Reduced Blanking v"&amp;RED_BLANK_VER&amp;" mandates","")</f>
        <v/>
      </c>
      <c r="AC25" s="531"/>
      <c r="AE25" s="295"/>
      <c r="BF25" s="301"/>
    </row>
    <row r="26" spans="1:58" ht="25" customHeight="1">
      <c r="A26" s="358"/>
      <c r="B26" s="522"/>
      <c r="C26" s="646"/>
      <c r="D26" s="649"/>
      <c r="E26" s="650"/>
      <c r="F26" s="650"/>
      <c r="G26" s="650"/>
      <c r="H26" s="650"/>
      <c r="I26" s="650"/>
      <c r="J26" s="656"/>
      <c r="K26" s="657"/>
      <c r="L26" s="658"/>
      <c r="M26" s="530"/>
      <c r="O26" s="519"/>
      <c r="P26" s="518" t="s">
        <v>97</v>
      </c>
      <c r="Q26" s="502">
        <f>ROUNDDOWN(H_PIXELS/CELL_GRAN_RND,0)*CELL_GRAN_RND</f>
        <v>1920</v>
      </c>
      <c r="R26" s="295"/>
      <c r="S26" s="443"/>
      <c r="T26" s="301" t="s">
        <v>158</v>
      </c>
      <c r="U26" s="523">
        <f>ROUNDDOWN((MIN_VSYNC_BP/CRT_H_PERIOD_EST),0)+1</f>
        <v>37</v>
      </c>
      <c r="V26" s="301"/>
      <c r="W26" s="443"/>
      <c r="Y26" s="484"/>
      <c r="AE26" s="295"/>
      <c r="BF26" s="301"/>
    </row>
    <row r="27" spans="1:58" ht="25" customHeight="1">
      <c r="A27" s="358"/>
      <c r="B27" s="522"/>
      <c r="C27" s="646"/>
      <c r="D27" s="649"/>
      <c r="E27" s="650"/>
      <c r="F27" s="650"/>
      <c r="G27" s="650"/>
      <c r="H27" s="650"/>
      <c r="I27" s="650"/>
      <c r="J27" s="656"/>
      <c r="K27" s="657"/>
      <c r="L27" s="658"/>
      <c r="M27" s="516"/>
      <c r="O27" s="443"/>
      <c r="Q27" s="482"/>
      <c r="R27" s="295"/>
      <c r="S27" s="443"/>
      <c r="T27" s="301" t="s">
        <v>8</v>
      </c>
      <c r="U27" s="484">
        <f>((MIN_VSYNC_BP/CRT_H_PERIOD_EST))</f>
        <v>36.958634953464319</v>
      </c>
      <c r="W27" s="443">
        <f>W20+1</f>
        <v>10</v>
      </c>
      <c r="X27" s="295" t="s">
        <v>143</v>
      </c>
      <c r="Y27" s="484"/>
      <c r="AA27" s="296"/>
      <c r="AE27" s="295"/>
      <c r="BF27" s="301"/>
    </row>
    <row r="28" spans="1:58" ht="25" customHeight="1">
      <c r="A28" s="358"/>
      <c r="B28" s="522"/>
      <c r="C28" s="646"/>
      <c r="D28" s="651"/>
      <c r="E28" s="652"/>
      <c r="F28" s="652"/>
      <c r="G28" s="652"/>
      <c r="H28" s="652"/>
      <c r="I28" s="652"/>
      <c r="J28" s="659"/>
      <c r="K28" s="660"/>
      <c r="L28" s="661"/>
      <c r="M28" s="516"/>
      <c r="O28" s="443">
        <f>O22+1</f>
        <v>3</v>
      </c>
      <c r="P28" s="300" t="s">
        <v>76</v>
      </c>
      <c r="Q28" s="482"/>
      <c r="R28" s="295"/>
      <c r="S28" s="443"/>
      <c r="T28" s="301" t="s">
        <v>105</v>
      </c>
      <c r="U28" s="484">
        <f>IF(CRT_EST_V_BPORCH&lt;(V_SYNC+MIN_V_BPORCH),V_SYNC+MIN_V_BPORCH,CRT_EST_V_BPORCH)</f>
        <v>37</v>
      </c>
      <c r="V28" s="301"/>
      <c r="W28" s="443"/>
      <c r="X28" s="295" t="s">
        <v>251</v>
      </c>
      <c r="Y28" s="484">
        <f>RB_MIN_V_BPORCH</f>
        <v>7</v>
      </c>
      <c r="AA28" s="296"/>
      <c r="AE28" s="295"/>
      <c r="BF28" s="301"/>
    </row>
    <row r="29" spans="1:58" ht="25" customHeight="1" thickBot="1">
      <c r="A29" s="358"/>
      <c r="B29" s="522"/>
      <c r="C29" s="299"/>
      <c r="D29" s="521"/>
      <c r="E29" s="521"/>
      <c r="F29" s="521"/>
      <c r="G29" s="521"/>
      <c r="H29" s="521"/>
      <c r="I29" s="521"/>
      <c r="J29" s="521"/>
      <c r="K29" s="521"/>
      <c r="L29" s="521"/>
      <c r="M29" s="516"/>
      <c r="O29" s="443"/>
      <c r="P29" s="307" t="s">
        <v>98</v>
      </c>
      <c r="Q29" s="502">
        <f>(IF(MARGINS_RQD="Y",(ROUNDDOWN( (H_PIXELS_RND*MARGIN_PER/100/CELL_GRAN_RND),0))*CELL_GRAN_RND,0))</f>
        <v>0</v>
      </c>
      <c r="R29" s="295"/>
      <c r="S29" s="443"/>
      <c r="T29" s="301"/>
      <c r="U29" s="484"/>
      <c r="V29" s="301"/>
      <c r="W29" s="443"/>
      <c r="X29" s="295" t="s">
        <v>156</v>
      </c>
      <c r="Y29" s="484">
        <f>RB_V_FPORCH+V_SYNC_RND+Y28</f>
        <v>15</v>
      </c>
      <c r="AA29" s="296"/>
      <c r="AE29" s="295"/>
      <c r="BF29" s="301"/>
    </row>
    <row r="30" spans="1:58" ht="25" customHeight="1" thickTop="1" thickBot="1">
      <c r="A30" s="358"/>
      <c r="B30" s="638" t="s">
        <v>301</v>
      </c>
      <c r="C30" s="638"/>
      <c r="D30" s="638"/>
      <c r="E30" s="638"/>
      <c r="F30" s="638"/>
      <c r="G30" s="638"/>
      <c r="H30" s="638"/>
      <c r="I30" s="638"/>
      <c r="J30" s="639"/>
      <c r="K30" s="524">
        <v>24</v>
      </c>
      <c r="L30" s="517" t="s">
        <v>175</v>
      </c>
      <c r="M30" s="516"/>
      <c r="O30" s="443"/>
      <c r="P30" s="307"/>
      <c r="Q30" s="502"/>
      <c r="R30" s="295"/>
      <c r="S30" s="443"/>
      <c r="T30" s="301"/>
      <c r="U30" s="484"/>
      <c r="V30" s="301"/>
      <c r="W30" s="443"/>
      <c r="X30" s="295" t="s">
        <v>144</v>
      </c>
      <c r="Y30" s="484">
        <f>IF(VBI_LINES&lt;RB_MIN_VBI,RB_MIN_VBI,VBI_LINES)</f>
        <v>31</v>
      </c>
      <c r="AA30" s="529" t="s">
        <v>136</v>
      </c>
      <c r="AB30" s="528"/>
      <c r="AC30" s="527"/>
      <c r="AE30" s="295"/>
      <c r="BF30" s="301"/>
    </row>
    <row r="31" spans="1:58" ht="25" customHeight="1" thickTop="1" thickBot="1">
      <c r="A31" s="358"/>
      <c r="B31" s="638" t="s">
        <v>302</v>
      </c>
      <c r="C31" s="638"/>
      <c r="D31" s="638"/>
      <c r="E31" s="638"/>
      <c r="F31" s="638"/>
      <c r="G31" s="638"/>
      <c r="H31" s="638"/>
      <c r="I31" s="638"/>
      <c r="J31" s="639"/>
      <c r="K31" s="524">
        <v>4</v>
      </c>
      <c r="L31" s="517" t="s">
        <v>173</v>
      </c>
      <c r="M31" s="516"/>
      <c r="O31" s="443"/>
      <c r="P31" s="307" t="s">
        <v>99</v>
      </c>
      <c r="Q31" s="502">
        <f>(IF(MARGINS_RQD="Y",(ROUNDDOWN( (H_PIXELS_RND*MARGIN_PER/100/CELL_GRAN_RND),0))*CELL_GRAN_RND,0))</f>
        <v>0</v>
      </c>
      <c r="R31" s="295"/>
      <c r="S31" s="443">
        <f>S22+1</f>
        <v>10</v>
      </c>
      <c r="T31" s="295" t="s">
        <v>126</v>
      </c>
      <c r="U31" s="484"/>
      <c r="W31" s="443"/>
      <c r="Y31" s="484"/>
      <c r="AA31" s="526"/>
      <c r="AC31" s="525"/>
      <c r="AE31" s="295"/>
      <c r="BF31" s="301"/>
    </row>
    <row r="32" spans="1:58" ht="25" customHeight="1" thickTop="1" thickBot="1">
      <c r="A32" s="358"/>
      <c r="B32" s="638" t="s">
        <v>303</v>
      </c>
      <c r="C32" s="638"/>
      <c r="D32" s="638"/>
      <c r="E32" s="638"/>
      <c r="F32" s="638"/>
      <c r="G32" s="638"/>
      <c r="H32" s="638"/>
      <c r="I32" s="638"/>
      <c r="J32" s="639"/>
      <c r="K32" s="520">
        <v>8.1</v>
      </c>
      <c r="L32" s="517" t="s">
        <v>174</v>
      </c>
      <c r="M32" s="516"/>
      <c r="O32" s="443"/>
      <c r="P32" s="307"/>
      <c r="Q32" s="502"/>
      <c r="R32" s="295"/>
      <c r="S32" s="443"/>
      <c r="T32" s="295" t="s">
        <v>117</v>
      </c>
      <c r="U32" s="502">
        <f>V_SYNC_BP-V_SYNC_RND</f>
        <v>32</v>
      </c>
      <c r="W32" s="443">
        <f>W27+1</f>
        <v>11</v>
      </c>
      <c r="X32" s="301" t="s">
        <v>127</v>
      </c>
      <c r="Y32" s="482"/>
      <c r="AA32" s="662" t="str">
        <f>IF(AB14&lt;&gt;"",AB14 &amp; CHAR(10),"") &amp; IF(AB15&lt;&gt;"",AB15 &amp; CHAR(10),"") &amp; IF(AB16&lt;&gt;"",AB16 &amp; CHAR(10),"") &amp; IF(AB17&lt;&gt;"",AB17 &amp; CHAR(10),"") &amp; IF(AB18&lt;&gt;"",AB18 &amp; CHAR(10),"") &amp; IF(AB19&lt;&gt;"",AB19 &amp; CHAR(10),"")&amp; IF(AB20&lt;&gt;"",AB20 &amp; CHAR(10),"")&amp; IF(AB21&lt;&gt;"",AB21 &amp; CHAR(10),"")&amp; IF(AB22&lt;&gt;"",AB22 &amp; CHAR(10),"")&amp; IF(AB23&lt;&gt;"",AB23 &amp; CHAR(10),"")&amp; IF(AB24&lt;&gt;"",AB24 &amp; CHAR(10),"")&amp; IF(AB25&lt;&gt;"",AB25 &amp; CHAR(10),"")</f>
        <v/>
      </c>
      <c r="AB32" s="663"/>
      <c r="AC32" s="664"/>
      <c r="AE32" s="295"/>
      <c r="BF32" s="301"/>
    </row>
    <row r="33" spans="1:58" ht="25" customHeight="1" thickTop="1" thickBot="1">
      <c r="A33" s="358"/>
      <c r="B33" s="522" t="s">
        <v>304</v>
      </c>
      <c r="C33" s="299"/>
      <c r="D33" s="521"/>
      <c r="E33" s="521"/>
      <c r="F33" s="521"/>
      <c r="G33" s="521"/>
      <c r="H33" s="521"/>
      <c r="I33" s="521"/>
      <c r="J33" s="521"/>
      <c r="K33" s="520">
        <v>16</v>
      </c>
      <c r="L33" s="517"/>
      <c r="M33" s="516"/>
      <c r="O33" s="443">
        <f>O28+1</f>
        <v>4</v>
      </c>
      <c r="P33" s="307" t="s">
        <v>77</v>
      </c>
      <c r="Q33" s="502"/>
      <c r="R33" s="295"/>
      <c r="S33" s="443"/>
      <c r="U33" s="484"/>
      <c r="W33" s="443"/>
      <c r="X33" s="303" t="s">
        <v>10</v>
      </c>
      <c r="Y33" s="482">
        <f>ACT_VBI_LINES+V_LINES_RND+TOP_MARGIN+BOT_MARGIN+INTERLACE</f>
        <v>1111</v>
      </c>
      <c r="AA33" s="665"/>
      <c r="AB33" s="663"/>
      <c r="AC33" s="664"/>
      <c r="AE33" s="295"/>
      <c r="BF33" s="301"/>
    </row>
    <row r="34" spans="1:58" ht="39.75" customHeight="1" thickTop="1" thickBot="1">
      <c r="A34" s="358"/>
      <c r="B34" s="522" t="s">
        <v>305</v>
      </c>
      <c r="C34" s="299"/>
      <c r="D34" s="521"/>
      <c r="E34" s="521"/>
      <c r="F34" s="521"/>
      <c r="G34" s="521"/>
      <c r="H34" s="521"/>
      <c r="I34" s="521"/>
      <c r="J34" s="521"/>
      <c r="K34" s="520">
        <v>0</v>
      </c>
      <c r="L34" s="517"/>
      <c r="M34" s="516"/>
      <c r="O34" s="443"/>
      <c r="P34" s="300" t="s">
        <v>100</v>
      </c>
      <c r="Q34" s="502">
        <f>H_PIXELS_RND+LEFT_MARGIN+RIGHT_MARGIN</f>
        <v>1920</v>
      </c>
      <c r="R34" s="295"/>
      <c r="S34" s="443">
        <f>S31+1</f>
        <v>11</v>
      </c>
      <c r="T34" s="301" t="s">
        <v>127</v>
      </c>
      <c r="U34" s="482"/>
      <c r="W34" s="443"/>
      <c r="Y34" s="484"/>
      <c r="AA34" s="666"/>
      <c r="AB34" s="667"/>
      <c r="AC34" s="668"/>
      <c r="AE34" s="295"/>
      <c r="BF34" s="301"/>
    </row>
    <row r="35" spans="1:58" ht="39.75" customHeight="1" thickTop="1" thickBot="1">
      <c r="A35" s="358"/>
      <c r="B35" s="638" t="s">
        <v>178</v>
      </c>
      <c r="C35" s="638"/>
      <c r="D35" s="638"/>
      <c r="E35" s="638"/>
      <c r="F35" s="638"/>
      <c r="G35" s="638"/>
      <c r="H35" s="638"/>
      <c r="I35" s="638"/>
      <c r="J35" s="644"/>
      <c r="K35" s="144">
        <f>DSCBitsPerPixel+(DSCBitsPerPixel_Frac/16)</f>
        <v>16</v>
      </c>
      <c r="L35" s="517"/>
      <c r="M35" s="516"/>
      <c r="O35" s="443"/>
      <c r="Q35" s="502"/>
      <c r="R35" s="295"/>
      <c r="S35" s="443"/>
      <c r="T35" s="303" t="s">
        <v>10</v>
      </c>
      <c r="U35" s="523">
        <f>V_LINES_RND+TOP_MARGIN+BOT_MARGIN+V_SYNC_BP+INTERLACE+MIN_V_FPORCH_RND</f>
        <v>1120</v>
      </c>
      <c r="W35" s="443">
        <f>W32+1</f>
        <v>12</v>
      </c>
      <c r="X35" s="301" t="s">
        <v>130</v>
      </c>
      <c r="Y35" s="482"/>
      <c r="AA35" s="296"/>
      <c r="AE35" s="295"/>
      <c r="BF35" s="301"/>
    </row>
    <row r="36" spans="1:58" ht="39.75" customHeight="1" thickTop="1" thickBot="1">
      <c r="A36" s="358"/>
      <c r="B36" s="638" t="s">
        <v>176</v>
      </c>
      <c r="C36" s="638"/>
      <c r="D36" s="638"/>
      <c r="E36" s="638"/>
      <c r="F36" s="638"/>
      <c r="G36" s="638"/>
      <c r="H36" s="638"/>
      <c r="I36" s="638"/>
      <c r="J36" s="644"/>
      <c r="K36" s="144">
        <f>ROUND(ACT_PIXEL_FREQ*(IF((TargetDSCBitsPerPixel &lt;= 0), DPBitsPerPixel, TargetDSCBitsPerPixel)/1000),3)</f>
        <v>2.2160000000000002</v>
      </c>
      <c r="L36" s="517" t="s">
        <v>174</v>
      </c>
      <c r="M36" s="516"/>
      <c r="O36" s="443">
        <f>O33+1</f>
        <v>5</v>
      </c>
      <c r="P36" s="307" t="s">
        <v>78</v>
      </c>
      <c r="Q36" s="502"/>
      <c r="R36" s="295"/>
      <c r="S36" s="443"/>
      <c r="T36" s="301"/>
      <c r="U36" s="482"/>
      <c r="W36" s="443"/>
      <c r="X36" s="301" t="s">
        <v>15</v>
      </c>
      <c r="Y36" s="482">
        <f>RB_H_BLANK+TOTAL_ACTIVE_PIXELS</f>
        <v>2080</v>
      </c>
      <c r="AA36" s="296"/>
      <c r="AE36" s="295"/>
      <c r="BF36" s="301"/>
    </row>
    <row r="37" spans="1:58" ht="39.75" customHeight="1" thickTop="1" thickBot="1">
      <c r="A37" s="358"/>
      <c r="B37" s="638" t="str">
        <f xml:space="preserve"> "Required DisplayPort Link Bandwidth with Transport Overhead of x"&amp;ROUND(IF((TargetDSCBitsPerPixel &lt;= 0), 1, 1/IF(DPRate&lt;10, (1-(2.4/100)),1))/(IF(DPRate&lt;10, 8/10,0.9671)),3)&amp;" for the timing"</f>
        <v>Required DisplayPort Link Bandwidth with Transport Overhead of x1.281 for the timing</v>
      </c>
      <c r="C37" s="638"/>
      <c r="D37" s="638"/>
      <c r="E37" s="638"/>
      <c r="F37" s="638"/>
      <c r="G37" s="638"/>
      <c r="H37" s="638"/>
      <c r="I37" s="638"/>
      <c r="J37" s="644"/>
      <c r="K37" s="144">
        <f>ROUND(ACT_PIXEL_FREQ*(IF((TargetDSCBitsPerPixel &lt;= 0), DPBitsPerPixel, TargetDSCBitsPerPixel/IF(DPRate&lt;10, (1-(2.4/100)),1))/(IF(DPRate&lt;10, 8/10,0.9671)*1000)),3)</f>
        <v>2.8380000000000001</v>
      </c>
      <c r="L37" s="517" t="s">
        <v>174</v>
      </c>
      <c r="M37" s="516"/>
      <c r="O37" s="519"/>
      <c r="P37" s="518" t="s">
        <v>101</v>
      </c>
      <c r="Q37" s="502">
        <f>IF(INT_RQD="y",ROUNDDOWN(V_LINES/2,0),ROUNDDOWN(V_LINES,0))</f>
        <v>1080</v>
      </c>
      <c r="R37" s="295"/>
      <c r="S37" s="443">
        <f>S34+1</f>
        <v>12</v>
      </c>
      <c r="T37" s="295" t="s">
        <v>128</v>
      </c>
      <c r="U37" s="484"/>
      <c r="W37" s="443"/>
      <c r="Y37" s="484"/>
      <c r="AA37" s="296"/>
      <c r="AE37" s="295"/>
      <c r="BF37" s="301"/>
    </row>
    <row r="38" spans="1:58" ht="39.75" customHeight="1" thickTop="1" thickBot="1">
      <c r="A38" s="358"/>
      <c r="B38" s="638" t="str">
        <f>"Is the timing supported with "&amp;DPLanes&amp;" Lanes @ "&amp;DPRate&amp;" Gbps DisplayPort Link Configuration?"</f>
        <v>Is the timing supported with 4 Lanes @ 8.1 Gbps DisplayPort Link Configuration?</v>
      </c>
      <c r="C38" s="638"/>
      <c r="D38" s="638"/>
      <c r="E38" s="638"/>
      <c r="F38" s="638"/>
      <c r="G38" s="638"/>
      <c r="H38" s="638"/>
      <c r="I38" s="638"/>
      <c r="J38" s="644"/>
      <c r="K38" s="145" t="str">
        <f>IF(RequiredRawDPLinkBW&lt;=(DPLanes*DPRate),"YES","NO")</f>
        <v>YES</v>
      </c>
      <c r="L38" s="517"/>
      <c r="M38" s="516"/>
      <c r="O38" s="519"/>
      <c r="P38" s="518"/>
      <c r="Q38" s="502"/>
      <c r="R38" s="295"/>
      <c r="S38" s="443"/>
      <c r="T38" s="301" t="s">
        <v>106</v>
      </c>
      <c r="U38" s="482">
        <f>C_PRIME-(M_PRIME*H_PERIOD_EST/1000)</f>
        <v>25.498148148148147</v>
      </c>
      <c r="W38" s="443"/>
      <c r="Y38" s="484"/>
      <c r="AA38" s="296"/>
      <c r="AE38" s="295"/>
      <c r="BF38" s="301"/>
    </row>
    <row r="39" spans="1:58" ht="39.75" customHeight="1" thickTop="1">
      <c r="A39" s="358"/>
      <c r="M39" s="516"/>
      <c r="O39" s="519">
        <f>O36+1</f>
        <v>6</v>
      </c>
      <c r="P39" s="518" t="s">
        <v>79</v>
      </c>
      <c r="Q39" s="502"/>
      <c r="R39" s="295"/>
      <c r="S39" s="443"/>
      <c r="T39" s="301"/>
      <c r="U39" s="482"/>
      <c r="W39" s="443">
        <f>W35+1</f>
        <v>13</v>
      </c>
      <c r="X39" s="295" t="s">
        <v>118</v>
      </c>
      <c r="Y39" s="482"/>
      <c r="AA39" s="296"/>
      <c r="AE39" s="295"/>
      <c r="BF39" s="301"/>
    </row>
    <row r="40" spans="1:58" ht="39.75" customHeight="1" thickBot="1">
      <c r="A40" s="410"/>
      <c r="J40" s="299"/>
      <c r="M40" s="515"/>
      <c r="O40" s="519"/>
      <c r="P40" s="518"/>
      <c r="Q40" s="502"/>
      <c r="R40" s="295"/>
      <c r="S40" s="443"/>
      <c r="T40" s="301"/>
      <c r="U40" s="482"/>
      <c r="W40" s="443"/>
      <c r="Y40" s="482"/>
      <c r="AA40" s="296"/>
      <c r="AE40" s="295"/>
      <c r="BF40" s="301"/>
    </row>
    <row r="41" spans="1:58" ht="39.75" customHeight="1" thickTop="1">
      <c r="A41" s="510"/>
      <c r="B41" s="514"/>
      <c r="C41" s="513"/>
      <c r="D41" s="510"/>
      <c r="E41" s="510"/>
      <c r="F41" s="510"/>
      <c r="G41" s="510"/>
      <c r="H41" s="510"/>
      <c r="I41" s="510"/>
      <c r="J41" s="510"/>
      <c r="K41" s="512"/>
      <c r="L41" s="511"/>
      <c r="M41" s="510"/>
      <c r="O41" s="443"/>
      <c r="P41" s="307" t="s">
        <v>102</v>
      </c>
      <c r="Q41" s="502">
        <f>(IF(MARGINS_RQD="Y",ROUNDDOWN((MARGIN_PER/100*V_LINES_RND),0),0))</f>
        <v>0</v>
      </c>
      <c r="R41" s="295"/>
      <c r="S41" s="443">
        <f>S37+1</f>
        <v>13</v>
      </c>
      <c r="T41" s="301" t="s">
        <v>129</v>
      </c>
      <c r="U41" s="482"/>
      <c r="W41" s="443"/>
      <c r="X41" s="295" t="str">
        <f>"Rounded up to " &amp; CLOCK_STEP &amp; "MHz ="</f>
        <v>Rounded up to 0.25MHz =</v>
      </c>
      <c r="Y41" s="482">
        <f>CLOCK_STEP*ROUNDUP(((V_FIELD_RATE_RQD*RB_TOTAL_V_LINES*RB_H_TOTAL/1000000)/CLOCK_STEP),CLOCK_STEP)</f>
        <v>138.75</v>
      </c>
      <c r="AA41" s="296"/>
      <c r="AE41" s="295"/>
      <c r="BF41" s="301"/>
    </row>
    <row r="42" spans="1:58" ht="39.75" customHeight="1">
      <c r="B42" s="508"/>
      <c r="C42" s="507"/>
      <c r="K42" s="506"/>
      <c r="L42" s="505"/>
      <c r="O42" s="443"/>
      <c r="P42" s="307"/>
      <c r="Q42" s="502"/>
      <c r="R42" s="295"/>
      <c r="S42" s="443"/>
      <c r="T42" s="301"/>
      <c r="U42" s="482"/>
      <c r="W42" s="443"/>
      <c r="X42" s="295" t="str">
        <f>"Rounded down to " &amp; CLOCK_STEP &amp; "MHz ="</f>
        <v>Rounded down to 0.25MHz =</v>
      </c>
      <c r="Y42" s="482">
        <f>CLOCK_STEP*ROUNDDOWN(((V_FIELD_RATE_RQD*RB_H_TOTAL*RB_TOTAL_V_LINES/1000000)/CLOCK_STEP),CLOCK_STEP)</f>
        <v>138.5</v>
      </c>
      <c r="AA42" s="296"/>
      <c r="AE42" s="295"/>
      <c r="BF42" s="301"/>
    </row>
    <row r="43" spans="1:58" ht="39.75" customHeight="1">
      <c r="A43" s="689" t="str">
        <f>"Format: " &amp; F48 &amp;" x " &amp; F49 &amp; " @ " &amp; IP_FREQ_RQD &amp; " Hz" &amp; IF(RED_BLANK_RQD="Y"," - Reduced Blanking","")</f>
        <v>Format: 1920 x 1080 @ 60 Hz - Reduced Blanking</v>
      </c>
      <c r="B43" s="663"/>
      <c r="C43" s="663"/>
      <c r="D43" s="663"/>
      <c r="E43" s="663"/>
      <c r="F43" s="663"/>
      <c r="G43" s="663"/>
      <c r="H43" s="663"/>
      <c r="I43" s="663"/>
      <c r="J43" s="663"/>
      <c r="K43" s="663"/>
      <c r="L43" s="663"/>
      <c r="M43" s="663"/>
      <c r="O43" s="443"/>
      <c r="P43" s="307"/>
      <c r="Q43" s="502"/>
      <c r="R43" s="295"/>
      <c r="S43" s="443"/>
      <c r="T43" s="301"/>
      <c r="U43" s="482"/>
      <c r="W43" s="443"/>
      <c r="X43" s="295" t="s">
        <v>119</v>
      </c>
      <c r="Y43" s="509">
        <f>V_FIELD_RATE_RQD*RB_TOTAL_V_LINES*RB_H_TOTAL/1000000</f>
        <v>138.65280000000001</v>
      </c>
      <c r="AA43" s="296"/>
      <c r="AE43" s="295"/>
      <c r="BF43" s="301"/>
    </row>
    <row r="44" spans="1:58" ht="25" customHeight="1">
      <c r="A44" s="663"/>
      <c r="B44" s="663"/>
      <c r="C44" s="663"/>
      <c r="D44" s="663"/>
      <c r="E44" s="663"/>
      <c r="F44" s="663"/>
      <c r="G44" s="663"/>
      <c r="H44" s="663"/>
      <c r="I44" s="663"/>
      <c r="J44" s="663"/>
      <c r="K44" s="663"/>
      <c r="L44" s="663"/>
      <c r="M44" s="663"/>
      <c r="O44" s="443"/>
      <c r="P44" s="307" t="s">
        <v>103</v>
      </c>
      <c r="Q44" s="502">
        <f>(IF(MARGINS_RQD="Y",ROUNDDOWN((MARGIN_PER/100*V_LINES_RND),0),0))</f>
        <v>0</v>
      </c>
      <c r="R44" s="295"/>
      <c r="S44" s="443"/>
      <c r="T44" s="301" t="s">
        <v>179</v>
      </c>
      <c r="U44" s="502">
        <f>IF(IDEAL_DUTY_CYCLE&lt;20,(ROUNDDOWN((TOTAL_ACTIVE_PIXELS*20/(100-20)/(2*CELL_GRAN_RND)),0))*(2*CELL_GRAN_RND),(ROUNDDOWN((TOTAL_ACTIVE_PIXELS*IDEAL_DUTY_CYCLE/(100-IDEAL_DUTY_CYCLE)/(2*CELL_GRAN_RND)),0))*(2*CELL_GRAN_RND))</f>
        <v>656</v>
      </c>
      <c r="W44" s="443"/>
      <c r="X44" s="295" t="s">
        <v>181</v>
      </c>
      <c r="Y44" s="483">
        <f>IF(RED_BLANK_VER=3,Y41,Y42)</f>
        <v>138.5</v>
      </c>
      <c r="AA44" s="296"/>
      <c r="AE44" s="295"/>
      <c r="BF44" s="301"/>
    </row>
    <row r="45" spans="1:58" ht="25" customHeight="1">
      <c r="A45" s="686" t="str">
        <f>"VESA CVT Name: " &amp; IF(D22="OK",TEXT(H_PIXELS_RND*V_LINES_RND/1000000,"0.00") &amp;"M" &amp; IF(ASPECT_RATIO="4:3","3",IF(ASPECT_RATIO="5:4","4",IF(OR(ASPECT_RATIO="15:9",ASPECT_RATIO="16:9"),"9",IF(ASPECT_RATIO="16:10","A","")))) &amp; IF(RED_BLANK_RQD="Y","-R",""),"NOT CVT STANDARD! - " &amp; TEXT(H_PIXELS_RND*V_LINES_RND/1000000,"0.00") &amp;" Mega Pixel Image")</f>
        <v>VESA CVT Name: 2.07M9-R</v>
      </c>
      <c r="B45" s="687"/>
      <c r="C45" s="687"/>
      <c r="D45" s="687"/>
      <c r="E45" s="687"/>
      <c r="F45" s="687"/>
      <c r="G45" s="687"/>
      <c r="H45" s="687"/>
      <c r="I45" s="687"/>
      <c r="J45" s="687"/>
      <c r="K45" s="687"/>
      <c r="L45" s="687"/>
      <c r="M45" s="687"/>
      <c r="O45" s="443"/>
      <c r="Q45" s="482"/>
      <c r="R45" s="295"/>
      <c r="S45" s="443"/>
      <c r="T45" s="301"/>
      <c r="U45" s="482"/>
      <c r="W45" s="443">
        <f>W39+1</f>
        <v>14</v>
      </c>
      <c r="X45" s="295" t="s">
        <v>120</v>
      </c>
      <c r="Y45" s="482"/>
      <c r="AA45" s="296"/>
      <c r="AE45" s="295"/>
      <c r="BF45" s="301"/>
    </row>
    <row r="46" spans="1:58" ht="25" customHeight="1" thickBot="1">
      <c r="A46" s="687"/>
      <c r="B46" s="687"/>
      <c r="C46" s="687"/>
      <c r="D46" s="687"/>
      <c r="E46" s="687"/>
      <c r="F46" s="687"/>
      <c r="G46" s="687"/>
      <c r="H46" s="687"/>
      <c r="I46" s="687"/>
      <c r="J46" s="687"/>
      <c r="K46" s="687"/>
      <c r="L46" s="687"/>
      <c r="M46" s="687"/>
      <c r="O46" s="443">
        <f>O39+1</f>
        <v>7</v>
      </c>
      <c r="P46" s="307" t="s">
        <v>80</v>
      </c>
      <c r="Q46" s="482"/>
      <c r="R46" s="295"/>
      <c r="S46" s="443">
        <f>S41+1</f>
        <v>14</v>
      </c>
      <c r="T46" s="301" t="s">
        <v>130</v>
      </c>
      <c r="U46" s="482"/>
      <c r="W46" s="443"/>
      <c r="X46" s="301" t="s">
        <v>121</v>
      </c>
      <c r="Y46" s="482">
        <f>1000*RB_PIXEL_FREQ/RB_H_TOTAL</f>
        <v>66.586538461538467</v>
      </c>
      <c r="AA46" s="296"/>
      <c r="AB46" s="301"/>
      <c r="AE46" s="295"/>
      <c r="BF46" s="301"/>
    </row>
    <row r="47" spans="1:58" ht="25" customHeight="1" thickTop="1" thickBot="1">
      <c r="A47" s="494"/>
      <c r="B47" s="491"/>
      <c r="C47" s="491"/>
      <c r="D47" s="491"/>
      <c r="E47" s="491"/>
      <c r="F47" s="491"/>
      <c r="G47" s="491"/>
      <c r="H47" s="493"/>
      <c r="I47" s="491"/>
      <c r="J47" s="492"/>
      <c r="K47" s="491"/>
      <c r="L47" s="491"/>
      <c r="M47" s="490"/>
      <c r="O47" s="432"/>
      <c r="P47" s="504" t="s">
        <v>104</v>
      </c>
      <c r="Q47" s="503">
        <f>(IF(INT_RQD="y",0.5,0))</f>
        <v>0</v>
      </c>
      <c r="R47" s="295"/>
      <c r="S47" s="443"/>
      <c r="T47" s="301" t="s">
        <v>15</v>
      </c>
      <c r="U47" s="502">
        <f>TOTAL_ACTIVE_PIXELS+CRT_H_BLANK</f>
        <v>2576</v>
      </c>
      <c r="W47" s="443"/>
      <c r="Y47" s="484"/>
      <c r="AA47" s="296"/>
      <c r="AE47" s="295"/>
      <c r="BF47" s="301"/>
    </row>
    <row r="48" spans="1:58" ht="25" customHeight="1" thickBot="1">
      <c r="A48" s="417"/>
      <c r="B48" s="374" t="s">
        <v>2</v>
      </c>
      <c r="C48" s="367"/>
      <c r="D48" s="367"/>
      <c r="E48" s="367"/>
      <c r="F48" s="456">
        <f>H_PIXELS_RND</f>
        <v>1920</v>
      </c>
      <c r="G48" s="373" t="s">
        <v>3</v>
      </c>
      <c r="H48" s="478"/>
      <c r="J48" s="459"/>
      <c r="K48" s="371"/>
      <c r="L48" s="367"/>
      <c r="M48" s="382"/>
      <c r="O48" s="501"/>
      <c r="P48" s="500"/>
      <c r="Q48" s="499"/>
      <c r="R48" s="295"/>
      <c r="S48" s="443"/>
      <c r="U48" s="482"/>
      <c r="W48" s="443">
        <f>W45+1</f>
        <v>15</v>
      </c>
      <c r="X48" s="295" t="s">
        <v>122</v>
      </c>
      <c r="Y48" s="484"/>
      <c r="AA48" s="296"/>
      <c r="AB48" s="419"/>
      <c r="AC48" s="419"/>
      <c r="AE48" s="295"/>
      <c r="BF48" s="301"/>
    </row>
    <row r="49" spans="1:58" ht="25" customHeight="1">
      <c r="A49" s="417"/>
      <c r="B49" s="374" t="s">
        <v>4</v>
      </c>
      <c r="C49" s="367"/>
      <c r="D49" s="489" t="str">
        <f>(IF(INT_RQD="y","PER FRAME:",""))</f>
        <v/>
      </c>
      <c r="E49" s="489" t="str">
        <f>(IF(INT_RQD="y","PER FRAME:",""))</f>
        <v/>
      </c>
      <c r="F49" s="456">
        <f>IF(INT_RQD="y",2*V_LINES_RND,V_LINES_RND)</f>
        <v>1080</v>
      </c>
      <c r="G49" s="373" t="s">
        <v>5</v>
      </c>
      <c r="H49" s="478"/>
      <c r="I49" s="489" t="str">
        <f>(IF(INT_RQD="y","PER FIELD:",""))</f>
        <v/>
      </c>
      <c r="J49" s="359" t="str">
        <f>(IF(INT_RQD="y",V_LINES_RND,""))</f>
        <v/>
      </c>
      <c r="K49" s="373" t="str">
        <f>(IF($K$17="y","LINES",""))</f>
        <v/>
      </c>
      <c r="L49" s="367"/>
      <c r="M49" s="382"/>
      <c r="O49" s="498" t="s">
        <v>57</v>
      </c>
      <c r="P49" s="497"/>
      <c r="Q49" s="496"/>
      <c r="R49" s="295"/>
      <c r="S49" s="495">
        <f>S46+1</f>
        <v>15</v>
      </c>
      <c r="T49" s="295" t="s">
        <v>118</v>
      </c>
      <c r="U49" s="484"/>
      <c r="V49" s="301"/>
      <c r="W49" s="443"/>
      <c r="X49" s="301" t="s">
        <v>133</v>
      </c>
      <c r="Y49" s="482">
        <f>1000*RB_H_FREQ/RB_TOTAL_V_LINES</f>
        <v>59.933878003184937</v>
      </c>
      <c r="AA49" s="296"/>
      <c r="AB49" s="481"/>
      <c r="AC49" s="481"/>
      <c r="AD49" s="419"/>
      <c r="AE49" s="295"/>
      <c r="BF49" s="301"/>
    </row>
    <row r="50" spans="1:58" ht="25" customHeight="1">
      <c r="A50" s="417"/>
      <c r="B50" s="374" t="s">
        <v>6</v>
      </c>
      <c r="C50" s="367"/>
      <c r="D50" s="367"/>
      <c r="E50" s="367"/>
      <c r="F50" s="488">
        <f>ACT_H_FREQ</f>
        <v>66.586538461538467</v>
      </c>
      <c r="G50" s="373" t="s">
        <v>7</v>
      </c>
      <c r="H50" s="472"/>
      <c r="I50" s="367"/>
      <c r="J50" s="459"/>
      <c r="K50" s="371"/>
      <c r="L50" s="367"/>
      <c r="M50" s="382"/>
      <c r="O50" s="443"/>
      <c r="Q50" s="484"/>
      <c r="R50" s="295"/>
      <c r="S50" s="443"/>
      <c r="T50" s="295" t="str">
        <f>"Rounded down to " &amp; COARSE_CLOCK_STEP &amp; "MHz ="</f>
        <v>Rounded down to 0.25MHz =</v>
      </c>
      <c r="U50" s="483">
        <f>COARSE_CLOCK_STEP*ROUNDDOWN((CRT_H_TOTAL/CRT_H_PERIOD_EST)/COARSE_CLOCK_STEP,0)</f>
        <v>173</v>
      </c>
      <c r="V50" s="301"/>
      <c r="W50" s="443"/>
      <c r="Y50" s="484"/>
      <c r="AA50" s="296"/>
      <c r="AB50" s="481"/>
      <c r="AC50" s="481"/>
      <c r="AD50" s="419"/>
      <c r="AE50" s="295"/>
      <c r="BF50" s="301"/>
    </row>
    <row r="51" spans="1:58" ht="25" customHeight="1">
      <c r="A51" s="417"/>
      <c r="B51" s="374" t="s">
        <v>51</v>
      </c>
      <c r="C51" s="367"/>
      <c r="D51" s="489" t="str">
        <f>(IF(INT_RQD="y","FRAME RATE:",""))</f>
        <v/>
      </c>
      <c r="E51" s="489" t="str">
        <f>(IF(INT_RQD="y","FRAME RATE:",""))</f>
        <v/>
      </c>
      <c r="F51" s="488">
        <f>ACT_FRAME_RATE</f>
        <v>59.933878003184937</v>
      </c>
      <c r="G51" s="373" t="s">
        <v>9</v>
      </c>
      <c r="H51" s="472"/>
      <c r="I51" s="489" t="str">
        <f>(IF(INT_RQD="y","FIELD RATE:",""))</f>
        <v/>
      </c>
      <c r="J51" s="455" t="str">
        <f>(IF(INT_RQD="y",ACT_FIELD_RATE,""))</f>
        <v/>
      </c>
      <c r="K51" s="367" t="str">
        <f>(IF($K$17="y","Hz",""))</f>
        <v/>
      </c>
      <c r="L51" s="367"/>
      <c r="M51" s="382"/>
      <c r="O51" s="443" t="s">
        <v>83</v>
      </c>
      <c r="Q51" s="484"/>
      <c r="R51" s="295"/>
      <c r="S51" s="443"/>
      <c r="T51" s="295" t="s">
        <v>119</v>
      </c>
      <c r="U51" s="483">
        <f>CRT_H_TOTAL/CRT_H_PERIOD_EST</f>
        <v>173.10080661840743</v>
      </c>
      <c r="V51" s="301"/>
      <c r="W51" s="443">
        <f>W48+1</f>
        <v>16</v>
      </c>
      <c r="X51" s="301" t="s">
        <v>123</v>
      </c>
      <c r="Y51" s="482"/>
      <c r="AA51" s="296"/>
      <c r="AB51" s="481"/>
      <c r="AC51" s="419"/>
      <c r="AD51" s="419"/>
      <c r="AE51" s="295"/>
      <c r="BF51" s="301"/>
    </row>
    <row r="52" spans="1:58" ht="25" customHeight="1">
      <c r="A52" s="417"/>
      <c r="B52" s="374" t="s">
        <v>11</v>
      </c>
      <c r="C52" s="367"/>
      <c r="D52" s="367"/>
      <c r="E52" s="367"/>
      <c r="F52" s="488">
        <f>ACT_PIXEL_FREQ</f>
        <v>138.5</v>
      </c>
      <c r="G52" s="373" t="s">
        <v>12</v>
      </c>
      <c r="H52" s="472"/>
      <c r="I52" s="367"/>
      <c r="J52" s="456">
        <v>1</v>
      </c>
      <c r="K52" s="367" t="s">
        <v>3</v>
      </c>
      <c r="L52" s="367"/>
      <c r="M52" s="382"/>
      <c r="O52" s="443"/>
      <c r="P52" s="300" t="s">
        <v>84</v>
      </c>
      <c r="Q52" s="483">
        <f>IF(RED_BLANK_RQD="Y",RB_H_PERIOD_EST,CRT_H_PERIOD_EST)</f>
        <v>15.006172839506174</v>
      </c>
      <c r="R52" s="295"/>
      <c r="S52" s="443"/>
      <c r="U52" s="484"/>
      <c r="V52" s="301"/>
      <c r="W52" s="443"/>
      <c r="X52" s="301" t="s">
        <v>134</v>
      </c>
      <c r="Y52" s="482">
        <f>(IF(INT_RQD="y",RB_FIELD_RATE/2,RB_FIELD_RATE))</f>
        <v>59.933878003184937</v>
      </c>
      <c r="AA52" s="296"/>
      <c r="AB52" s="481"/>
      <c r="AC52" s="419"/>
      <c r="AD52" s="419"/>
      <c r="AE52" s="295"/>
      <c r="BF52" s="301"/>
    </row>
    <row r="53" spans="1:58" ht="25" customHeight="1" thickBot="1">
      <c r="A53" s="417"/>
      <c r="B53" s="374" t="s">
        <v>13</v>
      </c>
      <c r="C53" s="367"/>
      <c r="D53" s="367"/>
      <c r="E53" s="367"/>
      <c r="F53" s="488">
        <f>CELL_GRAN_RND*1000/ACT_PIXEL_FREQ</f>
        <v>57.761732851985556</v>
      </c>
      <c r="G53" s="367" t="s">
        <v>14</v>
      </c>
      <c r="H53" s="472"/>
      <c r="I53" s="367"/>
      <c r="J53" s="456">
        <f>CELL_GRAN_RND</f>
        <v>8</v>
      </c>
      <c r="K53" s="367" t="s">
        <v>3</v>
      </c>
      <c r="L53" s="367"/>
      <c r="M53" s="382"/>
      <c r="O53" s="443"/>
      <c r="Q53" s="484"/>
      <c r="R53" s="295"/>
      <c r="S53" s="443">
        <f>S49+1</f>
        <v>16</v>
      </c>
      <c r="T53" s="295" t="s">
        <v>120</v>
      </c>
      <c r="U53" s="482"/>
      <c r="W53" s="432"/>
      <c r="X53" s="476"/>
      <c r="Y53" s="430"/>
      <c r="AA53" s="296"/>
      <c r="AB53" s="481"/>
      <c r="AC53" s="419"/>
      <c r="AD53" s="419"/>
      <c r="AE53" s="295"/>
      <c r="BF53" s="301"/>
    </row>
    <row r="54" spans="1:58" ht="25" customHeight="1">
      <c r="A54" s="417"/>
      <c r="B54" s="374" t="s">
        <v>16</v>
      </c>
      <c r="C54" s="367"/>
      <c r="D54" s="367"/>
      <c r="E54" s="367"/>
      <c r="F54" s="488" t="str">
        <f>(IF(INT_RQD="y","INTERLACED", "NON-INT"))</f>
        <v>NON-INT</v>
      </c>
      <c r="G54" s="373"/>
      <c r="H54" s="487"/>
      <c r="I54" s="485"/>
      <c r="J54" s="486"/>
      <c r="K54" s="485"/>
      <c r="L54" s="367"/>
      <c r="M54" s="382"/>
      <c r="O54" s="443" t="s">
        <v>60</v>
      </c>
      <c r="Q54" s="484"/>
      <c r="R54" s="295"/>
      <c r="S54" s="443"/>
      <c r="T54" s="301" t="s">
        <v>121</v>
      </c>
      <c r="U54" s="482">
        <f>1000*CRT_PIXEL_FREQ/CRT_H_TOTAL</f>
        <v>67.158385093167695</v>
      </c>
      <c r="AA54" s="296"/>
      <c r="AB54" s="481"/>
      <c r="AC54" s="419"/>
      <c r="AD54" s="419"/>
      <c r="AE54" s="295"/>
      <c r="BF54" s="301"/>
    </row>
    <row r="55" spans="1:58" ht="25" customHeight="1">
      <c r="A55" s="417"/>
      <c r="B55" s="374" t="s">
        <v>72</v>
      </c>
      <c r="C55" s="367"/>
      <c r="D55" s="367"/>
      <c r="E55" s="367"/>
      <c r="F55" s="480" t="str">
        <f>IF(F48=CELL_GRAN_RND*INT((F49*4/3)/CELL_GRAN_RND),"4:3",
IF(F48=CELL_GRAN_RND*INT((F49*16/9)/CELL_GRAN_RND),"16:9",
IF(F48=CELL_GRAN_RND*INT((F49*16/10)/CELL_GRAN_RND),"16:10",
IF(F48=CELL_GRAN_RND*INT((F49*5/4)/CELL_GRAN_RND),"5:4",
IF(F48=CELL_GRAN_RND*INT((F49*15/9)/CELL_GRAN_RND),"15:9","Not Standard")))))</f>
        <v>16:9</v>
      </c>
      <c r="G55" s="479"/>
      <c r="H55" s="688" t="str">
        <f>IF(ASPECT_RATIO="Not Standard","WARNING! - Aspect Ratio = "&amp;H_PIXELS/GCD(H_PIXELS,V_LINES)&amp;":"&amp;V_LINES/GCD(H_PIXELS,V_LINES)&amp;".  Not a Standard Aspect Ratio","")</f>
        <v/>
      </c>
      <c r="I55" s="688"/>
      <c r="J55" s="688"/>
      <c r="K55" s="477"/>
      <c r="L55" s="367"/>
      <c r="M55" s="382"/>
      <c r="O55" s="443"/>
      <c r="P55" s="300" t="s">
        <v>85</v>
      </c>
      <c r="Q55" s="483">
        <f>IF(RED_BLANK_RQD="y",RB_H_FREQ,CRT_H_FREQ)</f>
        <v>66.586538461538467</v>
      </c>
      <c r="R55" s="295"/>
      <c r="S55" s="443"/>
      <c r="U55" s="484"/>
      <c r="AA55" s="296"/>
      <c r="AB55" s="481"/>
      <c r="AC55" s="419"/>
      <c r="AD55" s="419"/>
      <c r="AE55" s="295"/>
      <c r="BF55" s="301"/>
    </row>
    <row r="56" spans="1:58" ht="25" customHeight="1">
      <c r="A56" s="417"/>
      <c r="B56" s="374" t="s">
        <v>147</v>
      </c>
      <c r="C56" s="367"/>
      <c r="D56" s="367"/>
      <c r="E56" s="367"/>
      <c r="F56" s="480" t="str">
        <f>IF(RED_BLANK_RQD="y","POSITIVE","NEGATIVE")</f>
        <v>POSITIVE</v>
      </c>
      <c r="G56" s="479"/>
      <c r="H56" s="478"/>
      <c r="I56" s="477"/>
      <c r="J56" s="459"/>
      <c r="K56" s="477"/>
      <c r="L56" s="367"/>
      <c r="M56" s="382"/>
      <c r="O56" s="443" t="s">
        <v>59</v>
      </c>
      <c r="Q56" s="483"/>
      <c r="R56" s="295"/>
      <c r="S56" s="443">
        <f>S53+1</f>
        <v>17</v>
      </c>
      <c r="T56" s="295" t="s">
        <v>122</v>
      </c>
      <c r="U56" s="484"/>
      <c r="AA56" s="296"/>
      <c r="AB56" s="481"/>
      <c r="AC56" s="419"/>
      <c r="AD56" s="419"/>
      <c r="AE56" s="295"/>
      <c r="BF56" s="301"/>
    </row>
    <row r="57" spans="1:58" ht="25" customHeight="1">
      <c r="A57" s="417"/>
      <c r="B57" s="374" t="s">
        <v>148</v>
      </c>
      <c r="C57" s="367"/>
      <c r="D57" s="367"/>
      <c r="E57" s="367"/>
      <c r="F57" s="480" t="str">
        <f>IF(RED_BLANK_RQD="y","NEGATIVE","POSITIVE")</f>
        <v>NEGATIVE</v>
      </c>
      <c r="G57" s="479"/>
      <c r="H57" s="478"/>
      <c r="I57" s="477"/>
      <c r="J57" s="459"/>
      <c r="K57" s="477"/>
      <c r="L57" s="367"/>
      <c r="M57" s="382"/>
      <c r="O57" s="443"/>
      <c r="P57" s="300" t="s">
        <v>132</v>
      </c>
      <c r="Q57" s="483">
        <f>IF(RED_BLANK_RQD="y",RB_FIELD_RATE,CRT_FIELD_RATE)</f>
        <v>59.933878003184937</v>
      </c>
      <c r="R57" s="295"/>
      <c r="S57" s="443"/>
      <c r="T57" s="301" t="s">
        <v>133</v>
      </c>
      <c r="U57" s="482">
        <f>1000*CRT_H_FREQ/CRT_TOTAL_V_LINES</f>
        <v>59.962843833185445</v>
      </c>
      <c r="X57" s="419"/>
      <c r="Y57" s="471"/>
      <c r="AA57" s="296"/>
      <c r="AB57" s="481"/>
      <c r="AC57" s="419"/>
      <c r="AD57" s="419"/>
      <c r="AE57" s="295"/>
      <c r="BF57" s="301"/>
    </row>
    <row r="58" spans="1:58" ht="25" customHeight="1">
      <c r="A58" s="417"/>
      <c r="B58" s="374" t="s">
        <v>240</v>
      </c>
      <c r="C58" s="439"/>
      <c r="D58" s="439"/>
      <c r="E58" s="439"/>
      <c r="F58" s="438"/>
      <c r="G58" s="475"/>
      <c r="H58" s="474"/>
      <c r="I58" s="439"/>
      <c r="J58" s="474"/>
      <c r="K58" s="439"/>
      <c r="L58" s="439"/>
      <c r="M58" s="451"/>
      <c r="O58" s="443"/>
      <c r="P58" s="300" t="s">
        <v>86</v>
      </c>
      <c r="Q58" s="483">
        <f>IF(RED_BLANK_RQD="y",RB_FRAME_RATE,CRT_FRAME_RATE)</f>
        <v>59.933878003184937</v>
      </c>
      <c r="R58" s="295"/>
      <c r="S58" s="443"/>
      <c r="U58" s="484"/>
      <c r="X58" s="419"/>
      <c r="Y58" s="419"/>
      <c r="AB58" s="481"/>
      <c r="AC58" s="419"/>
      <c r="AD58" s="419"/>
      <c r="AE58" s="295"/>
      <c r="BF58" s="301"/>
    </row>
    <row r="59" spans="1:58" ht="25" customHeight="1">
      <c r="A59" s="429"/>
      <c r="B59" s="473"/>
      <c r="C59" s="367"/>
      <c r="D59" s="367"/>
      <c r="E59" s="367"/>
      <c r="F59" s="416"/>
      <c r="G59" s="373"/>
      <c r="H59" s="472"/>
      <c r="I59" s="367"/>
      <c r="J59" s="459"/>
      <c r="K59" s="367"/>
      <c r="L59" s="367"/>
      <c r="M59" s="382"/>
      <c r="O59" s="443" t="s">
        <v>58</v>
      </c>
      <c r="Q59" s="483"/>
      <c r="R59" s="295"/>
      <c r="S59" s="443">
        <f>S56+1</f>
        <v>18</v>
      </c>
      <c r="T59" s="301" t="s">
        <v>123</v>
      </c>
      <c r="U59" s="482"/>
      <c r="X59" s="419"/>
      <c r="Y59" s="419"/>
      <c r="AB59" s="481"/>
      <c r="AC59" s="419"/>
      <c r="AD59" s="419"/>
      <c r="AE59" s="295"/>
      <c r="BF59" s="301"/>
    </row>
    <row r="60" spans="1:58" ht="25" customHeight="1">
      <c r="A60" s="417"/>
      <c r="B60" s="374" t="s">
        <v>41</v>
      </c>
      <c r="C60" s="367"/>
      <c r="D60" s="367"/>
      <c r="E60" s="367"/>
      <c r="F60" s="416">
        <f>TOTAL_PIXELS/ACT_PIXEL_FREQ</f>
        <v>15.018050541516246</v>
      </c>
      <c r="G60" s="414" t="s">
        <v>19</v>
      </c>
      <c r="H60" s="456">
        <f>TOTAL_PIXELS/CELL_GRAN_RND</f>
        <v>260</v>
      </c>
      <c r="I60" s="367" t="s">
        <v>20</v>
      </c>
      <c r="J60" s="455">
        <f>TOTAL_PIXELS</f>
        <v>2080</v>
      </c>
      <c r="K60" s="368" t="s">
        <v>3</v>
      </c>
      <c r="L60" s="460"/>
      <c r="M60" s="382"/>
      <c r="O60" s="443"/>
      <c r="P60" s="300" t="s">
        <v>87</v>
      </c>
      <c r="Q60" s="483">
        <f>IF(RED_BLANK_RQD="y",RB_PIXEL_FREQ,CRT_PIXEL_FREQ)</f>
        <v>138.5</v>
      </c>
      <c r="R60" s="295"/>
      <c r="S60" s="443"/>
      <c r="T60" s="301" t="s">
        <v>134</v>
      </c>
      <c r="U60" s="482">
        <f>(IF(INT_RQD="y",CRT_FIELD_RATE/2,CRT_FIELD_RATE))</f>
        <v>59.962843833185445</v>
      </c>
      <c r="X60" s="419"/>
      <c r="Y60" s="419"/>
      <c r="AB60" s="419"/>
      <c r="AC60" s="419"/>
      <c r="AD60" s="419"/>
      <c r="AE60" s="295"/>
      <c r="BF60" s="301"/>
    </row>
    <row r="61" spans="1:58" ht="25" customHeight="1" thickBot="1">
      <c r="A61" s="417"/>
      <c r="B61" s="374" t="s">
        <v>42</v>
      </c>
      <c r="C61" s="367"/>
      <c r="D61" s="367"/>
      <c r="E61" s="367"/>
      <c r="F61" s="416">
        <f>H_PIXELS_RND/ACT_PIXEL_FREQ</f>
        <v>13.862815884476534</v>
      </c>
      <c r="G61" s="414" t="s">
        <v>19</v>
      </c>
      <c r="H61" s="456">
        <f>H_PIXELS_RND/CELL_GRAN_RND</f>
        <v>240</v>
      </c>
      <c r="I61" s="367" t="s">
        <v>20</v>
      </c>
      <c r="J61" s="455">
        <f>H_PIXELS_RND</f>
        <v>1920</v>
      </c>
      <c r="K61" s="368" t="s">
        <v>3</v>
      </c>
      <c r="L61" s="460"/>
      <c r="M61" s="382"/>
      <c r="O61" s="443"/>
      <c r="Q61" s="442"/>
      <c r="R61" s="295"/>
      <c r="S61" s="432"/>
      <c r="T61" s="476"/>
      <c r="U61" s="430"/>
      <c r="X61" s="419"/>
      <c r="Y61" s="419"/>
      <c r="AB61" s="419"/>
      <c r="AC61" s="419"/>
      <c r="AD61" s="419"/>
      <c r="AE61" s="295"/>
      <c r="BF61" s="301"/>
    </row>
    <row r="62" spans="1:58" ht="25" customHeight="1">
      <c r="A62" s="441"/>
      <c r="B62" s="440"/>
      <c r="C62" s="439"/>
      <c r="D62" s="439"/>
      <c r="E62" s="439"/>
      <c r="F62" s="438"/>
      <c r="G62" s="436"/>
      <c r="H62" s="470"/>
      <c r="I62" s="439"/>
      <c r="J62" s="454"/>
      <c r="K62" s="453"/>
      <c r="L62" s="469"/>
      <c r="M62" s="451"/>
      <c r="O62" s="443" t="s">
        <v>61</v>
      </c>
      <c r="Q62" s="442"/>
      <c r="R62" s="295"/>
      <c r="S62" s="297"/>
      <c r="V62" s="301"/>
      <c r="X62" s="419"/>
      <c r="Y62" s="419"/>
      <c r="AB62" s="419"/>
      <c r="AC62" s="471"/>
      <c r="AD62" s="419"/>
      <c r="AE62" s="295"/>
      <c r="BF62" s="301"/>
    </row>
    <row r="63" spans="1:58" ht="25" customHeight="1">
      <c r="A63" s="429"/>
      <c r="B63" s="428"/>
      <c r="C63" s="427"/>
      <c r="D63" s="427"/>
      <c r="E63" s="427"/>
      <c r="F63" s="468"/>
      <c r="G63" s="467"/>
      <c r="H63" s="466"/>
      <c r="I63" s="427"/>
      <c r="J63" s="465"/>
      <c r="K63" s="464"/>
      <c r="L63" s="463"/>
      <c r="M63" s="462"/>
      <c r="O63" s="443"/>
      <c r="P63" s="300" t="s">
        <v>88</v>
      </c>
      <c r="Q63" s="442">
        <f>IF(RED_BLANK_RQD="Y",RB_H_TOTAL,CRT_H_TOTAL)</f>
        <v>2080</v>
      </c>
      <c r="R63" s="295"/>
      <c r="S63" s="297"/>
      <c r="V63" s="301"/>
      <c r="X63" s="419"/>
      <c r="Y63" s="419"/>
      <c r="AB63" s="419"/>
      <c r="AC63" s="471"/>
      <c r="AD63" s="419"/>
      <c r="AE63" s="295"/>
      <c r="BF63" s="301"/>
    </row>
    <row r="64" spans="1:58" ht="25" customHeight="1">
      <c r="A64" s="417"/>
      <c r="B64" s="374" t="s">
        <v>43</v>
      </c>
      <c r="C64" s="367"/>
      <c r="D64" s="367"/>
      <c r="E64" s="367"/>
      <c r="F64" s="416">
        <f>H_BLANK/ACT_PIXEL_FREQ</f>
        <v>1.1552346570397112</v>
      </c>
      <c r="G64" s="414" t="s">
        <v>19</v>
      </c>
      <c r="H64" s="456">
        <f>H_BLANK/CELL_GRAN_RND</f>
        <v>20</v>
      </c>
      <c r="I64" s="367" t="s">
        <v>20</v>
      </c>
      <c r="J64" s="455">
        <f>H_BLANK</f>
        <v>160</v>
      </c>
      <c r="K64" s="368" t="s">
        <v>3</v>
      </c>
      <c r="L64" s="460"/>
      <c r="M64" s="382"/>
      <c r="O64" s="443" t="s">
        <v>62</v>
      </c>
      <c r="Q64" s="442"/>
      <c r="R64" s="295"/>
      <c r="S64" s="297"/>
      <c r="X64" s="419"/>
      <c r="Y64" s="419"/>
      <c r="AB64" s="419"/>
      <c r="AC64" s="419"/>
      <c r="AD64" s="419"/>
      <c r="AE64" s="295"/>
      <c r="BF64" s="301"/>
    </row>
    <row r="65" spans="1:58" ht="25" customHeight="1">
      <c r="A65" s="417"/>
      <c r="B65" s="374" t="s">
        <v>44</v>
      </c>
      <c r="C65" s="367"/>
      <c r="D65" s="367"/>
      <c r="E65" s="367"/>
      <c r="F65" s="416">
        <f>(H_BLANK+LEFT_MARGIN+RIGHT_MARGIN)/ACT_PIXEL_FREQ</f>
        <v>1.1552346570397112</v>
      </c>
      <c r="G65" s="414" t="s">
        <v>19</v>
      </c>
      <c r="H65" s="456">
        <f>(H_BLANK+LEFT_MARGIN+RIGHT_MARGIN)/CELL_GRAN_RND</f>
        <v>20</v>
      </c>
      <c r="I65" s="367" t="s">
        <v>20</v>
      </c>
      <c r="J65" s="455">
        <f>H_BLANK+LEFT_MARGIN+RIGHT_MARGIN</f>
        <v>160</v>
      </c>
      <c r="K65" s="368" t="s">
        <v>3</v>
      </c>
      <c r="L65" s="460"/>
      <c r="M65" s="382"/>
      <c r="O65" s="443"/>
      <c r="P65" s="300" t="s">
        <v>89</v>
      </c>
      <c r="Q65" s="442">
        <f>IF(RED_BLANK_RQD="Y",RB_H_BLANK,CRT_H_BLANK)</f>
        <v>160</v>
      </c>
      <c r="R65" s="295"/>
      <c r="S65" s="297"/>
      <c r="V65" s="301"/>
      <c r="X65" s="419"/>
      <c r="Y65" s="419"/>
      <c r="AB65" s="419"/>
      <c r="AC65" s="419"/>
      <c r="AD65" s="419"/>
      <c r="AE65" s="295"/>
      <c r="BF65" s="301"/>
    </row>
    <row r="66" spans="1:58" ht="25" customHeight="1">
      <c r="A66" s="417"/>
      <c r="B66" s="374" t="s">
        <v>17</v>
      </c>
      <c r="C66" s="367"/>
      <c r="D66" s="367"/>
      <c r="E66" s="367"/>
      <c r="F66" s="416">
        <f>IDEAL_DUTY_CYCLE</f>
        <v>25.498148148148147</v>
      </c>
      <c r="G66" s="414" t="s">
        <v>18</v>
      </c>
      <c r="H66" s="455"/>
      <c r="I66" s="368"/>
      <c r="J66" s="459"/>
      <c r="K66" s="367"/>
      <c r="L66" s="367"/>
      <c r="M66" s="382"/>
      <c r="O66" s="443" t="s">
        <v>64</v>
      </c>
      <c r="Q66" s="442"/>
      <c r="R66" s="295"/>
      <c r="S66" s="297"/>
      <c r="X66" s="419"/>
      <c r="Y66" s="419"/>
      <c r="AB66" s="419"/>
      <c r="AC66" s="419"/>
      <c r="AD66" s="419"/>
      <c r="AE66" s="295"/>
      <c r="BF66" s="301"/>
    </row>
    <row r="67" spans="1:58" ht="25" customHeight="1">
      <c r="A67" s="417"/>
      <c r="B67" s="374"/>
      <c r="C67" s="368" t="s">
        <v>50</v>
      </c>
      <c r="D67" s="368"/>
      <c r="E67" s="368"/>
      <c r="F67" s="416"/>
      <c r="G67" s="414"/>
      <c r="H67" s="455"/>
      <c r="I67" s="368"/>
      <c r="J67" s="459"/>
      <c r="K67" s="368"/>
      <c r="L67" s="367"/>
      <c r="M67" s="382"/>
      <c r="O67" s="443"/>
      <c r="P67" s="300" t="s">
        <v>90</v>
      </c>
      <c r="Q67" s="442">
        <f xml:space="preserve"> IF(AND((RED_BLANK_RQD="y"),(RED_BLANK_VER=3)),K144, H_BLANK-H_BACK_PORCH-H_SYNC_RND)</f>
        <v>48</v>
      </c>
      <c r="R67" s="295"/>
      <c r="S67" s="297"/>
      <c r="V67" s="301"/>
      <c r="X67" s="419"/>
      <c r="Y67" s="419"/>
      <c r="AB67" s="419"/>
      <c r="AC67" s="419"/>
      <c r="AD67" s="461"/>
      <c r="AE67" s="295"/>
      <c r="BF67" s="301"/>
    </row>
    <row r="68" spans="1:58" ht="25" customHeight="1">
      <c r="A68" s="417"/>
      <c r="B68" s="374" t="s">
        <v>21</v>
      </c>
      <c r="C68" s="367"/>
      <c r="D68" s="367"/>
      <c r="E68" s="367"/>
      <c r="F68" s="416">
        <f>H_BLANK/TOTAL_PIXELS*100</f>
        <v>7.6923076923076925</v>
      </c>
      <c r="G68" s="414" t="s">
        <v>18</v>
      </c>
      <c r="H68" s="455"/>
      <c r="I68" s="368"/>
      <c r="J68" s="459"/>
      <c r="K68" s="367"/>
      <c r="L68" s="367"/>
      <c r="M68" s="382"/>
      <c r="O68" s="443" t="s">
        <v>65</v>
      </c>
      <c r="Q68" s="442"/>
      <c r="R68" s="295"/>
      <c r="S68" s="297"/>
      <c r="V68" s="301"/>
      <c r="X68" s="419"/>
      <c r="Y68" s="419"/>
      <c r="AB68" s="450"/>
      <c r="AC68" s="419"/>
      <c r="AD68" s="461"/>
      <c r="AE68" s="295"/>
      <c r="BF68" s="301"/>
    </row>
    <row r="69" spans="1:58" ht="25" customHeight="1">
      <c r="A69" s="417"/>
      <c r="B69" s="374" t="s">
        <v>22</v>
      </c>
      <c r="C69" s="367"/>
      <c r="D69" s="367"/>
      <c r="E69" s="367"/>
      <c r="F69" s="416">
        <f>(H_BLANK+LEFT_MARGIN+RIGHT_MARGIN)/TOTAL_PIXELS*100</f>
        <v>7.6923076923076925</v>
      </c>
      <c r="G69" s="414" t="s">
        <v>18</v>
      </c>
      <c r="H69" s="455"/>
      <c r="I69" s="368"/>
      <c r="J69" s="459"/>
      <c r="K69" s="367"/>
      <c r="L69" s="367"/>
      <c r="M69" s="382"/>
      <c r="O69" s="443"/>
      <c r="P69" s="300" t="s">
        <v>91</v>
      </c>
      <c r="Q69" s="442">
        <f>IF(RED_BLANK_RQD="Y",Y13,(ROUNDDOWN((H_SYNC_PER/100*TOTAL_PIXELS/CELL_GRAN_RND),0))*CELL_GRAN_RND)</f>
        <v>32</v>
      </c>
      <c r="R69" s="295"/>
      <c r="S69" s="297"/>
      <c r="V69" s="301"/>
      <c r="X69" s="419"/>
      <c r="Y69" s="419"/>
      <c r="AB69" s="450"/>
      <c r="AC69" s="419"/>
      <c r="AD69" s="419"/>
      <c r="AE69" s="295"/>
      <c r="BF69" s="301"/>
    </row>
    <row r="70" spans="1:58" ht="24.75" customHeight="1">
      <c r="A70" s="417"/>
      <c r="B70" s="374" t="s">
        <v>23</v>
      </c>
      <c r="C70" s="367"/>
      <c r="D70" s="367"/>
      <c r="E70" s="367"/>
      <c r="F70" s="416">
        <f>LEFT_MARGIN/ACT_PIXEL_FREQ</f>
        <v>0</v>
      </c>
      <c r="G70" s="414" t="s">
        <v>19</v>
      </c>
      <c r="H70" s="456">
        <f>LEFT_MARGIN/CELL_GRAN_RND</f>
        <v>0</v>
      </c>
      <c r="I70" s="367" t="s">
        <v>20</v>
      </c>
      <c r="J70" s="455">
        <f>LEFT_MARGIN</f>
        <v>0</v>
      </c>
      <c r="K70" s="368" t="s">
        <v>3</v>
      </c>
      <c r="L70" s="368"/>
      <c r="M70" s="382"/>
      <c r="O70" s="443" t="s">
        <v>66</v>
      </c>
      <c r="Q70" s="442"/>
      <c r="R70" s="295"/>
      <c r="S70" s="297"/>
      <c r="V70" s="301"/>
      <c r="X70" s="419"/>
      <c r="Y70" s="419"/>
      <c r="AB70" s="450"/>
      <c r="AC70" s="419"/>
      <c r="AD70" s="419"/>
      <c r="AE70" s="295"/>
      <c r="BF70" s="301"/>
    </row>
    <row r="71" spans="1:58" ht="25" customHeight="1">
      <c r="A71" s="417"/>
      <c r="B71" s="374" t="s">
        <v>24</v>
      </c>
      <c r="C71" s="367"/>
      <c r="D71" s="367"/>
      <c r="E71" s="367"/>
      <c r="F71" s="416">
        <f>H_FRONT_PORCH/ACT_PIXEL_FREQ</f>
        <v>0.34657039711191334</v>
      </c>
      <c r="G71" s="414" t="s">
        <v>19</v>
      </c>
      <c r="H71" s="456">
        <f>H_FRONT_PORCH/CELL_GRAN_RND</f>
        <v>6</v>
      </c>
      <c r="I71" s="367" t="s">
        <v>20</v>
      </c>
      <c r="J71" s="455">
        <f>H_FRONT_PORCH</f>
        <v>48</v>
      </c>
      <c r="K71" s="368" t="s">
        <v>3</v>
      </c>
      <c r="L71" s="368"/>
      <c r="M71" s="382"/>
      <c r="O71" s="443"/>
      <c r="P71" s="300" t="s">
        <v>92</v>
      </c>
      <c r="Q71" s="442">
        <f xml:space="preserve"> IF(AND((RED_BLANK_RQD="y"),(RED_BLANK_VER=3)), H_BLANK-H_FRONT_PORCH-H_SYNC_RND, H_BLANK/2)</f>
        <v>80</v>
      </c>
      <c r="R71" s="295"/>
      <c r="S71" s="297"/>
      <c r="X71" s="419"/>
      <c r="Y71" s="419"/>
      <c r="AB71" s="450"/>
      <c r="AC71" s="419"/>
      <c r="AD71" s="419"/>
      <c r="AE71" s="295"/>
      <c r="BF71" s="301"/>
    </row>
    <row r="72" spans="1:58" ht="25" customHeight="1">
      <c r="A72" s="417"/>
      <c r="B72" s="374" t="s">
        <v>45</v>
      </c>
      <c r="C72" s="367"/>
      <c r="D72" s="367"/>
      <c r="E72" s="367"/>
      <c r="F72" s="416">
        <f>H_SYNC_RND/ACT_PIXEL_FREQ</f>
        <v>0.23104693140794225</v>
      </c>
      <c r="G72" s="414" t="s">
        <v>19</v>
      </c>
      <c r="H72" s="456">
        <f>H_SYNC_RND/CELL_GRAN_RND</f>
        <v>4</v>
      </c>
      <c r="I72" s="367" t="s">
        <v>20</v>
      </c>
      <c r="J72" s="455">
        <f>H_SYNC_RND</f>
        <v>32</v>
      </c>
      <c r="K72" s="368" t="s">
        <v>3</v>
      </c>
      <c r="L72" s="368"/>
      <c r="M72" s="382"/>
      <c r="O72" s="443"/>
      <c r="Q72" s="442"/>
      <c r="R72" s="295"/>
      <c r="S72" s="297"/>
      <c r="X72" s="419"/>
      <c r="Y72" s="419"/>
      <c r="AB72" s="450"/>
      <c r="AC72" s="419"/>
      <c r="AD72" s="419"/>
      <c r="AE72" s="295"/>
      <c r="BF72" s="301"/>
    </row>
    <row r="73" spans="1:58" ht="25" customHeight="1">
      <c r="A73" s="417"/>
      <c r="B73" s="374" t="s">
        <v>25</v>
      </c>
      <c r="C73" s="367"/>
      <c r="D73" s="367"/>
      <c r="E73" s="367"/>
      <c r="F73" s="416">
        <f>H_BACK_PORCH/ACT_PIXEL_FREQ</f>
        <v>0.57761732851985559</v>
      </c>
      <c r="G73" s="414" t="s">
        <v>19</v>
      </c>
      <c r="H73" s="456">
        <f>H_BACK_PORCH/CELL_GRAN_RND</f>
        <v>10</v>
      </c>
      <c r="I73" s="367" t="s">
        <v>20</v>
      </c>
      <c r="J73" s="455">
        <f>H_BACK_PORCH</f>
        <v>80</v>
      </c>
      <c r="K73" s="368" t="s">
        <v>3</v>
      </c>
      <c r="L73" s="368"/>
      <c r="M73" s="382"/>
      <c r="O73" s="443" t="s">
        <v>63</v>
      </c>
      <c r="Q73" s="442"/>
      <c r="R73" s="295"/>
      <c r="S73" s="297"/>
      <c r="X73" s="419"/>
      <c r="Y73" s="419"/>
      <c r="AB73" s="450"/>
      <c r="AC73" s="450"/>
      <c r="AD73" s="419"/>
      <c r="AE73" s="295"/>
      <c r="BF73" s="301"/>
    </row>
    <row r="74" spans="1:58" ht="25" customHeight="1">
      <c r="A74" s="417"/>
      <c r="B74" s="374" t="s">
        <v>26</v>
      </c>
      <c r="C74" s="367"/>
      <c r="D74" s="367"/>
      <c r="E74" s="367"/>
      <c r="F74" s="416">
        <f>RIGHT_MARGIN/ACT_PIXEL_FREQ</f>
        <v>0</v>
      </c>
      <c r="G74" s="414" t="s">
        <v>19</v>
      </c>
      <c r="H74" s="456">
        <f>RIGHT_MARGIN/CELL_GRAN_RND</f>
        <v>0</v>
      </c>
      <c r="I74" s="367" t="s">
        <v>20</v>
      </c>
      <c r="J74" s="455">
        <f>RIGHT_MARGIN</f>
        <v>0</v>
      </c>
      <c r="K74" s="368" t="s">
        <v>3</v>
      </c>
      <c r="L74" s="368"/>
      <c r="M74" s="382"/>
      <c r="O74" s="443"/>
      <c r="P74" s="300" t="s">
        <v>93</v>
      </c>
      <c r="Q74" s="458">
        <f>IF(RED_BLANK_RQD="Y",RB_TOTAL_V_LINES,CRT_TOTAL_V_LINES)</f>
        <v>1111</v>
      </c>
      <c r="R74" s="295"/>
      <c r="S74" s="297"/>
      <c r="V74" s="301"/>
      <c r="X74" s="419"/>
      <c r="Y74" s="419"/>
      <c r="AB74" s="450"/>
      <c r="AC74" s="450"/>
      <c r="AD74" s="450"/>
      <c r="AE74" s="295"/>
      <c r="BF74" s="301"/>
    </row>
    <row r="75" spans="1:58" ht="25" customHeight="1">
      <c r="A75" s="441"/>
      <c r="B75" s="440"/>
      <c r="C75" s="439"/>
      <c r="D75" s="439"/>
      <c r="E75" s="439"/>
      <c r="F75" s="438"/>
      <c r="G75" s="436"/>
      <c r="H75" s="454"/>
      <c r="I75" s="453"/>
      <c r="J75" s="452"/>
      <c r="K75" s="439"/>
      <c r="L75" s="439"/>
      <c r="M75" s="451"/>
      <c r="O75" s="443" t="s">
        <v>67</v>
      </c>
      <c r="Q75" s="458"/>
      <c r="R75" s="295"/>
      <c r="S75" s="297"/>
      <c r="V75" s="301"/>
      <c r="X75" s="419"/>
      <c r="Y75" s="419"/>
      <c r="AB75" s="450"/>
      <c r="AC75" s="457"/>
      <c r="AD75" s="450"/>
      <c r="AE75" s="295"/>
    </row>
    <row r="76" spans="1:58" ht="25" customHeight="1">
      <c r="A76" s="417"/>
      <c r="B76" s="374"/>
      <c r="C76" s="367"/>
      <c r="D76" s="367"/>
      <c r="E76" s="367"/>
      <c r="F76" s="447" t="str">
        <f>(IF(INT_RQD="y","PER FRAME",""))</f>
        <v/>
      </c>
      <c r="G76" s="448"/>
      <c r="H76" s="449" t="str">
        <f>(IF(INT_RQD="y","PER FIELD",""))</f>
        <v/>
      </c>
      <c r="I76" s="448"/>
      <c r="J76" s="447" t="str">
        <f>(IF(INT_RQD="y","PER FRAME",""))</f>
        <v/>
      </c>
      <c r="K76" s="446"/>
      <c r="L76" s="445" t="str">
        <f>(IF(INT_RQD="y","PER FIELD",""))</f>
        <v/>
      </c>
      <c r="M76" s="444"/>
      <c r="O76" s="443"/>
      <c r="P76" s="300" t="s">
        <v>94</v>
      </c>
      <c r="Q76" s="442">
        <f>IF(RED_BLANK_RQD="y",ACT_VBI_LINES,V_SYNC_BP+MIN_V_FPORCH_RND)</f>
        <v>31</v>
      </c>
      <c r="R76" s="295"/>
      <c r="S76" s="297"/>
      <c r="V76" s="301"/>
      <c r="X76" s="419"/>
      <c r="Y76" s="419"/>
      <c r="AB76" s="450"/>
      <c r="AC76" s="419"/>
      <c r="AD76" s="450"/>
      <c r="AE76" s="295"/>
    </row>
    <row r="77" spans="1:58" ht="25" customHeight="1">
      <c r="A77" s="417"/>
      <c r="B77" s="374" t="s">
        <v>46</v>
      </c>
      <c r="C77" s="367"/>
      <c r="D77" s="367"/>
      <c r="E77" s="367"/>
      <c r="F77" s="416">
        <f>IF(INT_RQD="y",2,1)*TOTAL_V_LINES/ACT_H_FREQ</f>
        <v>16.685054151624549</v>
      </c>
      <c r="G77" s="414" t="s">
        <v>27</v>
      </c>
      <c r="H77" s="415" t="str">
        <f>IF(INT_RQD="y",TOTAL_V_LINES/ACT_H_FREQ,"")</f>
        <v/>
      </c>
      <c r="I77" s="414" t="str">
        <f>IF(INT_RQD="y","ms","")</f>
        <v/>
      </c>
      <c r="J77" s="412">
        <f>IF(INT_RQD="y",2,1)*TOTAL_V_LINES</f>
        <v>1111</v>
      </c>
      <c r="K77" s="413" t="s">
        <v>5</v>
      </c>
      <c r="L77" s="412" t="str">
        <f>IF(INT_RQD="y",TOTAL_V_LINES,"")</f>
        <v/>
      </c>
      <c r="M77" s="411" t="str">
        <f>(IF(INT_RQD="y","LINES",""))</f>
        <v/>
      </c>
      <c r="O77" s="443" t="s">
        <v>68</v>
      </c>
      <c r="Q77" s="442"/>
      <c r="R77" s="295"/>
      <c r="S77" s="297"/>
      <c r="V77" s="301"/>
      <c r="X77" s="419"/>
      <c r="Y77" s="419"/>
      <c r="AB77" s="450"/>
      <c r="AC77" s="450"/>
      <c r="AD77" s="450"/>
      <c r="AE77" s="295"/>
    </row>
    <row r="78" spans="1:58" ht="25" customHeight="1">
      <c r="A78" s="417"/>
      <c r="B78" s="374" t="s">
        <v>47</v>
      </c>
      <c r="C78" s="367"/>
      <c r="D78" s="367"/>
      <c r="E78" s="367"/>
      <c r="F78" s="416">
        <f>IF(INT_RQD="y",2,1)*V_LINES_RND/ACT_H_FREQ</f>
        <v>16.219494584837545</v>
      </c>
      <c r="G78" s="414" t="s">
        <v>27</v>
      </c>
      <c r="H78" s="415" t="str">
        <f>IF(INT_RQD="y",V_LINES_RND/ACT_H_FREQ,"")</f>
        <v/>
      </c>
      <c r="I78" s="414" t="str">
        <f>IF(INT_RQD="y","ms","")</f>
        <v/>
      </c>
      <c r="J78" s="412">
        <f>IF(INT_RQD="y",2*V_LINES_RND,V_LINES_RND)</f>
        <v>1080</v>
      </c>
      <c r="K78" s="413" t="s">
        <v>5</v>
      </c>
      <c r="L78" s="412" t="str">
        <f>IF(INT_RQD="y",V_LINES_RND,"")</f>
        <v/>
      </c>
      <c r="M78" s="411" t="str">
        <f>(IF(INT_RQD="y","LINES",""))</f>
        <v/>
      </c>
      <c r="O78" s="443"/>
      <c r="P78" s="300" t="s">
        <v>95</v>
      </c>
      <c r="Q78" s="442">
        <f>IF(RED_BLANK_RQD="y",IF(OR((RED_BLANK_VER=2),(RED_BLANK_VER=3)), V_BLANK-V_BACK_PORCH-V_SYNC_RND, RB_V_FPORCH), MIN_V_FPORCH_RND)</f>
        <v>3</v>
      </c>
      <c r="R78" s="295"/>
      <c r="S78" s="297"/>
      <c r="X78" s="419"/>
      <c r="Y78" s="419"/>
      <c r="AB78" s="419"/>
      <c r="AC78" s="450"/>
      <c r="AD78" s="450"/>
      <c r="AE78" s="295"/>
    </row>
    <row r="79" spans="1:58" ht="25" customHeight="1">
      <c r="A79" s="441"/>
      <c r="B79" s="440"/>
      <c r="C79" s="439"/>
      <c r="D79" s="439"/>
      <c r="E79" s="439"/>
      <c r="F79" s="438"/>
      <c r="G79" s="436"/>
      <c r="H79" s="437"/>
      <c r="I79" s="436"/>
      <c r="J79" s="434"/>
      <c r="K79" s="435"/>
      <c r="L79" s="434"/>
      <c r="M79" s="433"/>
      <c r="O79" s="443" t="s">
        <v>69</v>
      </c>
      <c r="Q79" s="442"/>
      <c r="R79" s="295"/>
      <c r="S79" s="297"/>
      <c r="X79" s="419"/>
      <c r="Y79" s="419"/>
      <c r="AB79" s="419"/>
      <c r="AC79" s="419"/>
      <c r="AD79" s="419"/>
      <c r="AE79" s="295"/>
    </row>
    <row r="80" spans="1:58" ht="25" customHeight="1">
      <c r="A80" s="429"/>
      <c r="B80" s="428"/>
      <c r="C80" s="427"/>
      <c r="D80" s="427"/>
      <c r="E80" s="427"/>
      <c r="F80" s="426" t="str">
        <f>(IF(INT_RQD="y","ODD FIELD",""))</f>
        <v/>
      </c>
      <c r="G80" s="424"/>
      <c r="H80" s="425" t="str">
        <f>(IF(INT_RQD="y","EVEN FIELD",""))</f>
        <v/>
      </c>
      <c r="I80" s="424"/>
      <c r="J80" s="422" t="str">
        <f>(IF(INT_RQD="y","ODD FIELD",""))</f>
        <v/>
      </c>
      <c r="K80" s="423"/>
      <c r="L80" s="422" t="str">
        <f>(IF(INT_RQD="y","EVEN FIELD",""))</f>
        <v/>
      </c>
      <c r="M80" s="421"/>
      <c r="O80" s="443"/>
      <c r="P80" s="300" t="s">
        <v>96</v>
      </c>
      <c r="Q80" s="442">
        <f>INT(V_SYNC)</f>
        <v>5</v>
      </c>
      <c r="R80" s="295"/>
      <c r="S80" s="297"/>
      <c r="X80" s="419"/>
      <c r="Y80" s="419"/>
      <c r="AB80" s="419"/>
      <c r="AC80" s="419"/>
      <c r="AD80" s="419"/>
      <c r="AE80" s="295"/>
    </row>
    <row r="81" spans="1:31" ht="25" customHeight="1">
      <c r="A81" s="417"/>
      <c r="B81" s="374" t="s">
        <v>48</v>
      </c>
      <c r="C81" s="367"/>
      <c r="D81" s="367"/>
      <c r="E81" s="367"/>
      <c r="F81" s="416">
        <f>V_BLANK/ACT_H_FREQ</f>
        <v>0.46555956678700355</v>
      </c>
      <c r="G81" s="414" t="s">
        <v>27</v>
      </c>
      <c r="H81" s="416" t="str">
        <f>IF(INT_RQD="y",(V_BLANK+(2*INTERLACE))/ACT_H_FREQ,"")</f>
        <v/>
      </c>
      <c r="I81" s="414" t="str">
        <f>(IF(INT_RQD="y","ms",""))</f>
        <v/>
      </c>
      <c r="J81" s="412">
        <f>V_BLANK</f>
        <v>31</v>
      </c>
      <c r="K81" s="413" t="s">
        <v>5</v>
      </c>
      <c r="L81" s="412" t="str">
        <f>IF(INT_RQD="y",V_BLANK+(2*INTERLACE),"")</f>
        <v/>
      </c>
      <c r="M81" s="411" t="str">
        <f t="shared" ref="M81:M86" si="0">(IF(INT_RQD="y","LINES",""))</f>
        <v/>
      </c>
      <c r="O81" s="443" t="s">
        <v>70</v>
      </c>
      <c r="Q81" s="442"/>
      <c r="R81" s="295"/>
      <c r="S81" s="297"/>
      <c r="X81" s="419"/>
      <c r="Y81" s="419"/>
      <c r="AB81" s="419"/>
      <c r="AC81" s="419"/>
      <c r="AD81" s="419"/>
      <c r="AE81" s="295"/>
    </row>
    <row r="82" spans="1:31" ht="25" customHeight="1">
      <c r="A82" s="417"/>
      <c r="B82" s="374" t="s">
        <v>28</v>
      </c>
      <c r="C82" s="367"/>
      <c r="D82" s="367"/>
      <c r="E82" s="367"/>
      <c r="F82" s="416">
        <f>1000*TOP_MARGIN/ACT_H_FREQ</f>
        <v>0</v>
      </c>
      <c r="G82" s="414" t="s">
        <v>19</v>
      </c>
      <c r="H82" s="415" t="str">
        <f>(IF(INT_RQD="y",1000*TOP_MARGIN/ACT_H_FREQ,""))</f>
        <v/>
      </c>
      <c r="I82" s="414" t="str">
        <f>(IF(INT_RQD="y","us",""))</f>
        <v/>
      </c>
      <c r="J82" s="412">
        <f>TOP_MARGIN</f>
        <v>0</v>
      </c>
      <c r="K82" s="413" t="s">
        <v>5</v>
      </c>
      <c r="L82" s="412" t="str">
        <f>(IF(INT_RQD="y",TOP_MARGIN,""))</f>
        <v/>
      </c>
      <c r="M82" s="411" t="str">
        <f t="shared" si="0"/>
        <v/>
      </c>
      <c r="O82" s="443"/>
      <c r="P82" s="300" t="s">
        <v>283</v>
      </c>
      <c r="Q82" s="442">
        <f>IF(AND((RED_BLANK_RQD="y"),OR((RED_BLANK_VER=2),(RED_BLANK_VER=3))), RB_MIN_V_BPORCH, IF((V_BLANK-V_FRONT_PORCH-V_SYNC_RND)&lt;RB_MIN_V_BPORCH,RB_MIN_V_BPORCH,V_BLANK-V_FRONT_PORCH-V_SYNC_RND))</f>
        <v>23</v>
      </c>
      <c r="R82" s="295"/>
      <c r="S82" s="297"/>
      <c r="X82" s="419"/>
      <c r="Y82" s="419"/>
      <c r="AB82" s="419"/>
      <c r="AC82" s="419"/>
      <c r="AD82" s="419"/>
      <c r="AE82" s="295"/>
    </row>
    <row r="83" spans="1:31" ht="25" customHeight="1" thickBot="1">
      <c r="A83" s="417"/>
      <c r="B83" s="374" t="s">
        <v>29</v>
      </c>
      <c r="C83" s="367"/>
      <c r="D83" s="367"/>
      <c r="E83" s="367"/>
      <c r="F83" s="416">
        <f>1000*(V_FRONT_PORCH+INTERLACE)/ACT_H_FREQ</f>
        <v>45.05415162454873</v>
      </c>
      <c r="G83" s="414" t="s">
        <v>19</v>
      </c>
      <c r="H83" s="415" t="str">
        <f>IF(INT_RQD="y",1000*V_FRONT_PORCH/ACT_H_FREQ,"")</f>
        <v/>
      </c>
      <c r="I83" s="414" t="str">
        <f>(IF(INT_RQD="y","us",""))</f>
        <v/>
      </c>
      <c r="J83" s="412">
        <f>V_FRONT_PORCH+INTERLACE</f>
        <v>3</v>
      </c>
      <c r="K83" s="413" t="s">
        <v>5</v>
      </c>
      <c r="L83" s="412" t="str">
        <f>IF(INT_RQD="y",V_FRONT_PORCH,"")</f>
        <v/>
      </c>
      <c r="M83" s="411" t="str">
        <f t="shared" si="0"/>
        <v/>
      </c>
      <c r="O83" s="432"/>
      <c r="P83" s="431"/>
      <c r="Q83" s="430"/>
      <c r="R83" s="295"/>
      <c r="S83" s="297"/>
      <c r="X83" s="419"/>
      <c r="Y83" s="419"/>
      <c r="AB83" s="419"/>
      <c r="AC83" s="419"/>
      <c r="AD83" s="419"/>
      <c r="AE83" s="295"/>
    </row>
    <row r="84" spans="1:31" ht="25" customHeight="1">
      <c r="A84" s="417"/>
      <c r="B84" s="374" t="s">
        <v>49</v>
      </c>
      <c r="C84" s="367"/>
      <c r="D84" s="367"/>
      <c r="E84" s="367"/>
      <c r="F84" s="416">
        <f>1000*V_SYNC_RND/ACT_H_FREQ</f>
        <v>75.090252707581215</v>
      </c>
      <c r="G84" s="414" t="s">
        <v>19</v>
      </c>
      <c r="H84" s="416" t="str">
        <f>IF(INT_RQD="y",1000*V_SYNC_RND/ACT_H_FREQ,"")</f>
        <v/>
      </c>
      <c r="I84" s="414" t="str">
        <f>(IF(INT_RQD="y","us",""))</f>
        <v/>
      </c>
      <c r="J84" s="412">
        <f>V_SYNC_RND</f>
        <v>5</v>
      </c>
      <c r="K84" s="413" t="s">
        <v>5</v>
      </c>
      <c r="L84" s="412" t="str">
        <f>IF(INT_RQD="y",V_SYNC_RND,"")</f>
        <v/>
      </c>
      <c r="M84" s="411" t="str">
        <f t="shared" si="0"/>
        <v/>
      </c>
      <c r="R84" s="295"/>
      <c r="S84" s="297"/>
      <c r="X84" s="419"/>
      <c r="Y84" s="419"/>
      <c r="AB84" s="419"/>
      <c r="AC84" s="419"/>
      <c r="AD84" s="419"/>
      <c r="AE84" s="295"/>
    </row>
    <row r="85" spans="1:31" ht="25" customHeight="1">
      <c r="A85" s="417"/>
      <c r="B85" s="374" t="s">
        <v>30</v>
      </c>
      <c r="C85" s="367"/>
      <c r="D85" s="367"/>
      <c r="E85" s="367"/>
      <c r="F85" s="416">
        <f>1000*V_BACK_PORCH/ACT_H_FREQ</f>
        <v>345.41516245487361</v>
      </c>
      <c r="G85" s="414" t="s">
        <v>19</v>
      </c>
      <c r="H85" s="415" t="str">
        <f>IF(INT_RQD="y",1000*(V_BACK_PORCH+INTERLACE)/ACT_H_FREQ,"")</f>
        <v/>
      </c>
      <c r="I85" s="414" t="str">
        <f>(IF(INT_RQD="y","us",""))</f>
        <v/>
      </c>
      <c r="J85" s="412">
        <f>V_BACK_PORCH</f>
        <v>23</v>
      </c>
      <c r="K85" s="413" t="s">
        <v>5</v>
      </c>
      <c r="L85" s="412" t="str">
        <f>IF(INT_RQD="y",V_BACK_PORCH+INTERLACE,"")</f>
        <v/>
      </c>
      <c r="M85" s="411" t="str">
        <f t="shared" si="0"/>
        <v/>
      </c>
      <c r="P85" s="310"/>
      <c r="Q85" s="418"/>
      <c r="R85" s="295"/>
      <c r="S85" s="297"/>
      <c r="X85" s="419"/>
      <c r="Y85" s="419"/>
      <c r="AB85" s="419"/>
      <c r="AC85" s="419"/>
      <c r="AD85" s="419"/>
      <c r="AE85" s="295"/>
    </row>
    <row r="86" spans="1:31" ht="25" customHeight="1">
      <c r="A86" s="417"/>
      <c r="B86" s="374" t="s">
        <v>31</v>
      </c>
      <c r="C86" s="367"/>
      <c r="D86" s="367"/>
      <c r="E86" s="367"/>
      <c r="F86" s="416">
        <f>1000*BOT_MARGIN/ACT_H_FREQ</f>
        <v>0</v>
      </c>
      <c r="G86" s="414" t="s">
        <v>19</v>
      </c>
      <c r="H86" s="415" t="str">
        <f>(IF(INT_RQD="y",1000*BOT_MARGIN/ACT_H_FREQ,""))</f>
        <v/>
      </c>
      <c r="I86" s="414" t="str">
        <f>(IF(INT_RQD="y","us",""))</f>
        <v/>
      </c>
      <c r="J86" s="412">
        <f>BOT_MARGIN</f>
        <v>0</v>
      </c>
      <c r="K86" s="413" t="s">
        <v>5</v>
      </c>
      <c r="L86" s="412" t="str">
        <f>(IF(INT_RQD="y",BOT_MARGIN,""))</f>
        <v/>
      </c>
      <c r="M86" s="411" t="str">
        <f t="shared" si="0"/>
        <v/>
      </c>
      <c r="P86" s="310"/>
      <c r="Q86" s="418"/>
      <c r="R86" s="295"/>
      <c r="S86" s="297"/>
      <c r="X86" s="419"/>
      <c r="Y86" s="419"/>
      <c r="AB86" s="419"/>
      <c r="AC86" s="419"/>
      <c r="AD86" s="419"/>
      <c r="AE86" s="295"/>
    </row>
    <row r="87" spans="1:31" ht="25" customHeight="1" thickBot="1">
      <c r="A87" s="410"/>
      <c r="B87" s="409"/>
      <c r="C87" s="408" t="str">
        <f>IF(B58="","","NOTE: ANY RESULT IN RED PARENTHESIS INDICATES AN ERROR: SOLUTION NOT POSSIBLE WITH GIVEN INPUTS REQUIREMENTS")</f>
        <v>NOTE: ANY RESULT IN RED PARENTHESIS INDICATES AN ERROR: SOLUTION NOT POSSIBLE WITH GIVEN INPUTS REQUIREMENTS</v>
      </c>
      <c r="D87" s="404"/>
      <c r="E87" s="404"/>
      <c r="F87" s="407"/>
      <c r="G87" s="406"/>
      <c r="H87" s="404"/>
      <c r="I87" s="404"/>
      <c r="J87" s="405"/>
      <c r="K87" s="404"/>
      <c r="L87" s="404"/>
      <c r="M87" s="403"/>
      <c r="P87" s="310"/>
      <c r="Q87" s="420"/>
      <c r="R87" s="295"/>
      <c r="S87" s="297"/>
      <c r="AD87" s="419"/>
      <c r="AE87" s="295"/>
    </row>
    <row r="88" spans="1:31" ht="25" customHeight="1" thickTop="1">
      <c r="A88" s="397"/>
      <c r="B88" s="402"/>
      <c r="F88" s="401"/>
      <c r="G88" s="400"/>
      <c r="H88" s="399"/>
      <c r="I88" s="399"/>
      <c r="J88" s="398"/>
      <c r="K88" s="308"/>
      <c r="L88" s="308"/>
      <c r="M88" s="308"/>
      <c r="P88" s="310"/>
      <c r="Q88" s="418"/>
      <c r="R88" s="295"/>
      <c r="S88" s="297"/>
      <c r="AE88" s="295"/>
    </row>
    <row r="89" spans="1:31" ht="25" customHeight="1">
      <c r="A89" s="397"/>
      <c r="B89" s="402"/>
      <c r="F89" s="401" t="s">
        <v>241</v>
      </c>
      <c r="H89" s="399"/>
      <c r="I89" s="399"/>
      <c r="J89" s="398"/>
      <c r="K89" s="308"/>
      <c r="L89" s="308"/>
      <c r="M89" s="308"/>
      <c r="P89" s="310"/>
      <c r="Q89" s="418"/>
      <c r="R89" s="301"/>
      <c r="S89" s="297"/>
      <c r="AE89" s="295"/>
    </row>
    <row r="90" spans="1:31" ht="25" customHeight="1">
      <c r="A90" s="397"/>
      <c r="B90" s="402"/>
      <c r="F90" s="401"/>
      <c r="H90" s="399"/>
      <c r="I90" s="399"/>
      <c r="J90" s="398"/>
      <c r="K90" s="308"/>
      <c r="L90" s="308"/>
      <c r="M90" s="308"/>
      <c r="R90" s="301"/>
      <c r="S90" s="297"/>
      <c r="AE90" s="295"/>
    </row>
    <row r="91" spans="1:31" ht="25" customHeight="1">
      <c r="A91" s="397"/>
      <c r="B91" s="402"/>
      <c r="F91" s="401"/>
      <c r="G91" s="400"/>
      <c r="H91" s="399"/>
      <c r="I91" s="399"/>
      <c r="J91" s="398"/>
      <c r="K91" s="308"/>
      <c r="L91" s="308"/>
      <c r="M91" s="308"/>
      <c r="R91" s="301"/>
      <c r="S91" s="297"/>
      <c r="AE91" s="295"/>
    </row>
    <row r="92" spans="1:31" ht="25" customHeight="1" thickBot="1">
      <c r="A92" s="397"/>
      <c r="G92" s="301"/>
      <c r="R92" s="301"/>
      <c r="S92" s="297"/>
      <c r="AE92" s="295"/>
    </row>
    <row r="93" spans="1:31" ht="25" customHeight="1" thickTop="1">
      <c r="A93" s="308"/>
      <c r="B93" s="396"/>
      <c r="C93" s="393"/>
      <c r="D93" s="393"/>
      <c r="E93" s="393"/>
      <c r="F93" s="395"/>
      <c r="G93" s="393"/>
      <c r="H93" s="393"/>
      <c r="I93" s="393"/>
      <c r="J93" s="394"/>
      <c r="K93" s="394"/>
      <c r="L93" s="393"/>
      <c r="M93" s="392"/>
      <c r="R93" s="301"/>
      <c r="S93" s="297"/>
      <c r="AE93" s="295"/>
    </row>
    <row r="94" spans="1:31" ht="25" customHeight="1">
      <c r="A94" s="308"/>
      <c r="B94" s="391" t="s">
        <v>249</v>
      </c>
      <c r="C94" s="389"/>
      <c r="D94" s="389"/>
      <c r="E94" s="389"/>
      <c r="F94" s="390"/>
      <c r="G94" s="389"/>
      <c r="H94" s="389"/>
      <c r="I94" s="389"/>
      <c r="J94" s="389"/>
      <c r="K94" s="389"/>
      <c r="L94" s="389"/>
      <c r="M94" s="388"/>
      <c r="N94" s="301"/>
      <c r="R94" s="301"/>
      <c r="S94" s="297"/>
      <c r="AE94" s="295"/>
    </row>
    <row r="95" spans="1:31" ht="25" customHeight="1">
      <c r="A95" s="308"/>
      <c r="B95" s="387"/>
      <c r="C95" s="308"/>
      <c r="D95" s="308"/>
      <c r="E95" s="308"/>
      <c r="F95" s="386"/>
      <c r="G95" s="308"/>
      <c r="H95" s="308"/>
      <c r="I95" s="308"/>
      <c r="J95" s="323"/>
      <c r="K95" s="323"/>
      <c r="L95" s="308"/>
      <c r="M95" s="318"/>
      <c r="N95" s="301"/>
      <c r="R95" s="301"/>
      <c r="S95" s="297"/>
      <c r="AE95" s="295"/>
    </row>
    <row r="96" spans="1:31" ht="25" customHeight="1">
      <c r="A96" s="308"/>
      <c r="B96" s="330" t="s">
        <v>73</v>
      </c>
      <c r="C96" s="308"/>
      <c r="D96" s="308"/>
      <c r="E96" s="308"/>
      <c r="F96" s="386"/>
      <c r="G96" s="308"/>
      <c r="H96" s="308"/>
      <c r="I96" s="308"/>
      <c r="J96" s="323"/>
      <c r="K96" s="323"/>
      <c r="L96" s="308"/>
      <c r="M96" s="318" t="str">
        <f>_xlfn.TEXTJOIN(" , ",TRUE,M102:M159)</f>
        <v/>
      </c>
      <c r="N96" s="301"/>
      <c r="R96" s="301"/>
      <c r="S96" s="297"/>
      <c r="AE96" s="295"/>
    </row>
    <row r="97" spans="1:31" ht="25" customHeight="1">
      <c r="A97" s="308"/>
      <c r="B97" s="363"/>
      <c r="C97" s="308"/>
      <c r="D97" s="308"/>
      <c r="E97" s="308"/>
      <c r="F97" s="308"/>
      <c r="G97" s="308"/>
      <c r="H97" s="308"/>
      <c r="I97" s="308"/>
      <c r="J97" s="323"/>
      <c r="K97" s="385"/>
      <c r="L97" s="385"/>
      <c r="M97" s="318"/>
      <c r="N97" s="301"/>
      <c r="R97" s="301"/>
      <c r="S97" s="297"/>
      <c r="AE97" s="295"/>
    </row>
    <row r="98" spans="1:31" ht="25" customHeight="1">
      <c r="A98" s="308"/>
      <c r="B98" s="363"/>
      <c r="C98" s="356" t="s">
        <v>243</v>
      </c>
      <c r="D98" s="308"/>
      <c r="E98" s="308"/>
      <c r="F98" s="308"/>
      <c r="G98" s="308"/>
      <c r="H98" s="308"/>
      <c r="I98" s="308"/>
      <c r="J98" s="323"/>
      <c r="K98" s="385"/>
      <c r="L98" s="385"/>
      <c r="M98" s="318"/>
      <c r="N98" s="301"/>
      <c r="R98" s="301"/>
      <c r="S98" s="297"/>
      <c r="AE98" s="295"/>
    </row>
    <row r="99" spans="1:31" ht="25" customHeight="1">
      <c r="A99" s="308"/>
      <c r="B99" s="363"/>
      <c r="C99" s="308" t="s">
        <v>0</v>
      </c>
      <c r="D99" s="308"/>
      <c r="E99" s="308"/>
      <c r="F99" s="308"/>
      <c r="G99" s="308"/>
      <c r="H99" s="308"/>
      <c r="I99" s="308"/>
      <c r="J99" s="323"/>
      <c r="K99" s="323"/>
      <c r="L99" s="308"/>
      <c r="M99" s="318"/>
      <c r="N99" s="301"/>
      <c r="R99" s="301"/>
      <c r="S99" s="297"/>
      <c r="AE99" s="295"/>
    </row>
    <row r="100" spans="1:31" ht="25" customHeight="1">
      <c r="A100" s="308"/>
      <c r="B100" s="363"/>
      <c r="C100" s="308"/>
      <c r="D100" s="367" t="s">
        <v>185</v>
      </c>
      <c r="E100" s="367"/>
      <c r="F100" s="367"/>
      <c r="G100" s="308"/>
      <c r="H100" s="308"/>
      <c r="I100" s="308"/>
      <c r="J100" s="323"/>
      <c r="K100" s="323"/>
      <c r="L100" s="308"/>
      <c r="M100" s="318"/>
      <c r="N100" s="301"/>
      <c r="R100" s="301"/>
      <c r="S100" s="297"/>
      <c r="AE100" s="295"/>
    </row>
    <row r="101" spans="1:31" ht="25" customHeight="1" thickBot="1">
      <c r="A101" s="308"/>
      <c r="B101" s="363"/>
      <c r="C101" s="308"/>
      <c r="D101" s="367" t="s">
        <v>32</v>
      </c>
      <c r="E101" s="367"/>
      <c r="F101" s="367"/>
      <c r="G101" s="308"/>
      <c r="H101" s="308"/>
      <c r="I101" s="308"/>
      <c r="J101" s="323"/>
      <c r="K101" s="323"/>
      <c r="L101" s="308"/>
      <c r="M101" s="318"/>
      <c r="N101" s="301"/>
      <c r="R101" s="301"/>
      <c r="S101" s="297"/>
      <c r="AE101" s="295"/>
    </row>
    <row r="102" spans="1:31" ht="25" customHeight="1" thickTop="1" thickBot="1">
      <c r="A102" s="308"/>
      <c r="B102" s="363"/>
      <c r="C102" s="308"/>
      <c r="D102" s="367" t="s">
        <v>33</v>
      </c>
      <c r="E102" s="367" t="s">
        <v>161</v>
      </c>
      <c r="F102" s="367"/>
      <c r="G102" s="308"/>
      <c r="H102" s="308"/>
      <c r="I102" s="308"/>
      <c r="J102" s="323"/>
      <c r="K102" s="327">
        <v>1.8</v>
      </c>
      <c r="L102" s="384"/>
      <c r="M102" s="318"/>
      <c r="N102" s="301"/>
      <c r="R102" s="301"/>
      <c r="S102" s="297"/>
      <c r="AE102" s="295"/>
    </row>
    <row r="103" spans="1:31" ht="25" customHeight="1" thickTop="1">
      <c r="A103" s="308"/>
      <c r="B103" s="363"/>
      <c r="C103" s="308"/>
      <c r="D103" s="360"/>
      <c r="E103" s="360"/>
      <c r="F103" s="367"/>
      <c r="G103" s="308"/>
      <c r="H103" s="308"/>
      <c r="I103" s="308"/>
      <c r="J103" s="323"/>
      <c r="K103" s="378"/>
      <c r="L103" s="384"/>
      <c r="M103" s="318"/>
      <c r="N103" s="301"/>
      <c r="R103" s="295"/>
      <c r="S103" s="297"/>
      <c r="AE103" s="295"/>
    </row>
    <row r="104" spans="1:31" ht="25" customHeight="1">
      <c r="A104" s="308"/>
      <c r="B104" s="363"/>
      <c r="C104" s="308"/>
      <c r="D104" s="360"/>
      <c r="E104" s="367"/>
      <c r="F104" s="367"/>
      <c r="G104" s="308"/>
      <c r="H104" s="308"/>
      <c r="I104" s="308"/>
      <c r="J104" s="323"/>
      <c r="K104" s="378"/>
      <c r="L104" s="336"/>
      <c r="M104" s="318"/>
      <c r="N104" s="301"/>
      <c r="R104" s="295"/>
      <c r="S104" s="297"/>
      <c r="AE104" s="295"/>
    </row>
    <row r="105" spans="1:31" ht="25" customHeight="1" thickBot="1">
      <c r="A105" s="308"/>
      <c r="B105" s="363"/>
      <c r="C105" s="356" t="s">
        <v>244</v>
      </c>
      <c r="D105" s="367"/>
      <c r="E105" s="383"/>
      <c r="F105" s="367"/>
      <c r="G105" s="308"/>
      <c r="H105" s="308"/>
      <c r="I105" s="308"/>
      <c r="J105" s="323"/>
      <c r="K105" s="378"/>
      <c r="L105" s="336"/>
      <c r="M105" s="318"/>
      <c r="N105" s="301"/>
      <c r="R105" s="295"/>
      <c r="S105" s="297"/>
      <c r="AE105" s="295"/>
    </row>
    <row r="106" spans="1:31" ht="25" customHeight="1" thickTop="1" thickBot="1">
      <c r="A106" s="308"/>
      <c r="B106" s="363"/>
      <c r="C106" s="308"/>
      <c r="D106" s="367" t="s">
        <v>33</v>
      </c>
      <c r="E106" s="367" t="s">
        <v>213</v>
      </c>
      <c r="F106" s="367"/>
      <c r="G106" s="367"/>
      <c r="H106" s="367"/>
      <c r="I106" s="367"/>
      <c r="J106" s="328" t="s">
        <v>211</v>
      </c>
      <c r="K106" s="376">
        <f>IF(AND((RED_BLANK_RQD="y"),(RED_BLANK_VER=2)),K108,K107)</f>
        <v>8</v>
      </c>
      <c r="L106" s="326" t="s">
        <v>186</v>
      </c>
      <c r="M106" s="318"/>
      <c r="N106" s="301"/>
      <c r="R106" s="295"/>
      <c r="S106" s="297"/>
      <c r="AE106" s="295"/>
    </row>
    <row r="107" spans="1:31" ht="25" customHeight="1" thickTop="1" thickBot="1">
      <c r="A107" s="308"/>
      <c r="B107" s="363"/>
      <c r="C107" s="308"/>
      <c r="D107" s="367"/>
      <c r="E107" s="685" t="s">
        <v>194</v>
      </c>
      <c r="F107" s="685"/>
      <c r="G107" s="685"/>
      <c r="H107" s="685"/>
      <c r="I107" s="685"/>
      <c r="J107" s="382" t="s">
        <v>195</v>
      </c>
      <c r="K107" s="376">
        <v>8</v>
      </c>
      <c r="M107" s="318" t="str">
        <f>IF(K107&lt;&gt;8,"WARNING: Required CELL_GRAN value is 8","")</f>
        <v/>
      </c>
      <c r="N107" s="301"/>
      <c r="R107" s="295"/>
      <c r="S107" s="297"/>
      <c r="AE107" s="295"/>
    </row>
    <row r="108" spans="1:31" ht="25" customHeight="1" thickTop="1" thickBot="1">
      <c r="A108" s="308"/>
      <c r="B108" s="363"/>
      <c r="C108" s="308"/>
      <c r="D108" s="367"/>
      <c r="E108" s="685" t="s">
        <v>196</v>
      </c>
      <c r="F108" s="685"/>
      <c r="G108" s="685"/>
      <c r="H108" s="685"/>
      <c r="I108" s="685"/>
      <c r="J108" s="382" t="s">
        <v>197</v>
      </c>
      <c r="K108" s="376">
        <v>1</v>
      </c>
      <c r="M108" s="318" t="str">
        <f>IF(K108&lt;&gt;1,"WARNING: Required CELL_GRAN value is 1","")</f>
        <v/>
      </c>
      <c r="N108" s="301"/>
      <c r="R108" s="295"/>
      <c r="S108" s="297"/>
      <c r="AE108" s="295"/>
    </row>
    <row r="109" spans="1:31" ht="25" customHeight="1" thickTop="1">
      <c r="A109" s="308"/>
      <c r="B109" s="363"/>
      <c r="C109" s="308"/>
      <c r="D109" s="367"/>
      <c r="E109" s="367"/>
      <c r="F109" s="367"/>
      <c r="G109" s="308"/>
      <c r="H109" s="308"/>
      <c r="I109" s="308"/>
      <c r="J109" s="323"/>
      <c r="K109" s="381"/>
      <c r="L109" s="380"/>
      <c r="M109" s="318"/>
      <c r="R109" s="295"/>
      <c r="S109" s="297"/>
      <c r="AE109" s="295"/>
    </row>
    <row r="110" spans="1:31" ht="23">
      <c r="A110" s="308"/>
      <c r="B110" s="363"/>
      <c r="C110" s="356" t="s">
        <v>245</v>
      </c>
      <c r="D110" s="367"/>
      <c r="E110" s="367"/>
      <c r="F110" s="367"/>
      <c r="G110" s="308"/>
      <c r="H110" s="308"/>
      <c r="I110" s="308"/>
      <c r="J110" s="323"/>
      <c r="K110" s="381"/>
      <c r="L110" s="380"/>
      <c r="M110" s="318"/>
      <c r="N110" s="301"/>
      <c r="R110" s="295"/>
      <c r="S110" s="297"/>
      <c r="AE110" s="295"/>
    </row>
    <row r="111" spans="1:31" ht="50.5" customHeight="1">
      <c r="A111" s="308"/>
      <c r="B111" s="363"/>
      <c r="C111" s="308" t="s">
        <v>0</v>
      </c>
      <c r="D111" s="367"/>
      <c r="E111" s="367"/>
      <c r="F111" s="367"/>
      <c r="G111" s="308"/>
      <c r="H111" s="308"/>
      <c r="I111" s="308"/>
      <c r="J111" s="323"/>
      <c r="K111" s="381"/>
      <c r="L111" s="380"/>
      <c r="M111" s="318"/>
      <c r="N111" s="301"/>
      <c r="R111" s="295"/>
      <c r="S111" s="297"/>
      <c r="AE111" s="295"/>
    </row>
    <row r="112" spans="1:31" ht="25" customHeight="1">
      <c r="A112" s="308"/>
      <c r="B112" s="363"/>
      <c r="C112" s="308"/>
      <c r="D112" s="367" t="s">
        <v>34</v>
      </c>
      <c r="E112" s="367"/>
      <c r="F112" s="367"/>
      <c r="G112" s="308"/>
      <c r="H112" s="308"/>
      <c r="I112" s="308"/>
      <c r="J112" s="323"/>
      <c r="K112" s="381"/>
      <c r="L112" s="380"/>
      <c r="M112" s="318"/>
      <c r="N112" s="301"/>
      <c r="R112" s="295"/>
      <c r="S112" s="297"/>
      <c r="AE112" s="295"/>
    </row>
    <row r="113" spans="1:31" ht="25" customHeight="1" thickBot="1">
      <c r="A113" s="308"/>
      <c r="B113" s="363"/>
      <c r="C113" s="308"/>
      <c r="D113" s="367" t="s">
        <v>35</v>
      </c>
      <c r="E113" s="367"/>
      <c r="F113" s="367"/>
      <c r="G113" s="308"/>
      <c r="H113" s="308"/>
      <c r="I113" s="308"/>
      <c r="J113" s="323"/>
      <c r="K113" s="381"/>
      <c r="L113" s="380"/>
      <c r="M113" s="318"/>
      <c r="N113" s="301"/>
      <c r="R113" s="295"/>
      <c r="S113" s="297"/>
      <c r="AE113" s="295"/>
    </row>
    <row r="114" spans="1:31" ht="25" customHeight="1" thickTop="1" thickBot="1">
      <c r="A114" s="308"/>
      <c r="B114" s="363"/>
      <c r="C114" s="308"/>
      <c r="D114" s="367" t="s">
        <v>33</v>
      </c>
      <c r="E114" s="368" t="s">
        <v>190</v>
      </c>
      <c r="F114" s="368"/>
      <c r="G114" s="368"/>
      <c r="H114" s="368"/>
      <c r="I114" s="368"/>
      <c r="J114" s="328" t="s">
        <v>191</v>
      </c>
      <c r="K114" s="376">
        <f>IF(AND(RED_BLANK_RQD="y",OR(RED_BLANK_VER=2,RED_BLANK_VER=3)),
         VLOOKUP("RB ver 2 &amp; 3",VSYNC_WIDTH_TABLE,2,FALSE),
         IF(ASPECT_RATIO&lt;&gt;"Not Standard",
                  VLOOKUP(ASPECT_RATIO,VSYNC_WIDTH_TABLE,2,FALSE),
                  VLOOKUP("Custom",VSYNC_WIDTH_TABLE,2,FALSE)))</f>
        <v>5</v>
      </c>
      <c r="L114" s="326" t="s">
        <v>187</v>
      </c>
      <c r="M114" s="318"/>
      <c r="N114" s="301"/>
      <c r="R114" s="295"/>
      <c r="S114" s="297"/>
      <c r="AE114" s="295"/>
    </row>
    <row r="115" spans="1:31" ht="25" customHeight="1" thickTop="1" thickBot="1">
      <c r="A115" s="308"/>
      <c r="B115" s="363"/>
      <c r="C115" s="308"/>
      <c r="D115" s="368" t="s">
        <v>33</v>
      </c>
      <c r="E115" s="368" t="s">
        <v>192</v>
      </c>
      <c r="F115" s="368"/>
      <c r="G115" s="368"/>
      <c r="H115" s="368"/>
      <c r="I115" s="368"/>
      <c r="J115" s="328" t="s">
        <v>193</v>
      </c>
      <c r="K115" s="320">
        <v>8</v>
      </c>
      <c r="L115" s="379"/>
      <c r="M115" s="318" t="str">
        <f>IF(K115&lt;&gt;8,"WARNING: Required HSYNC Width value is 8","")</f>
        <v/>
      </c>
      <c r="N115" s="301"/>
      <c r="R115" s="295"/>
      <c r="S115" s="297"/>
      <c r="AE115" s="295"/>
    </row>
    <row r="116" spans="1:31" ht="25" customHeight="1" thickTop="1">
      <c r="A116" s="308"/>
      <c r="B116" s="363"/>
      <c r="C116" s="308"/>
      <c r="D116" s="367"/>
      <c r="E116" s="367"/>
      <c r="F116" s="367"/>
      <c r="G116" s="308"/>
      <c r="H116" s="308"/>
      <c r="I116" s="308"/>
      <c r="J116" s="323"/>
      <c r="K116" s="378"/>
      <c r="L116" s="336"/>
      <c r="M116" s="318"/>
      <c r="N116" s="301"/>
      <c r="R116" s="295"/>
      <c r="S116" s="297"/>
      <c r="AE116" s="295"/>
    </row>
    <row r="117" spans="1:31" ht="25" customHeight="1">
      <c r="A117" s="308"/>
      <c r="B117" s="363"/>
      <c r="C117" s="308"/>
      <c r="D117" s="367"/>
      <c r="E117" s="367"/>
      <c r="F117" s="367"/>
      <c r="G117" s="308"/>
      <c r="H117" s="308"/>
      <c r="I117" s="308"/>
      <c r="J117" s="323"/>
      <c r="K117" s="378"/>
      <c r="L117" s="336"/>
      <c r="M117" s="318"/>
      <c r="N117" s="301"/>
      <c r="R117" s="295"/>
      <c r="S117" s="297"/>
      <c r="AE117" s="295"/>
    </row>
    <row r="118" spans="1:31" ht="25" customHeight="1">
      <c r="A118" s="308"/>
      <c r="B118" s="363"/>
      <c r="C118" s="356" t="s">
        <v>246</v>
      </c>
      <c r="D118" s="367"/>
      <c r="E118" s="367"/>
      <c r="F118" s="367"/>
      <c r="G118" s="308"/>
      <c r="H118" s="308"/>
      <c r="I118" s="308"/>
      <c r="J118" s="323"/>
      <c r="K118" s="378"/>
      <c r="L118" s="336"/>
      <c r="M118" s="318"/>
      <c r="N118" s="301"/>
      <c r="R118" s="295"/>
      <c r="S118" s="297"/>
      <c r="AE118" s="295"/>
    </row>
    <row r="119" spans="1:31" ht="25" customHeight="1">
      <c r="A119" s="308"/>
      <c r="B119" s="363"/>
      <c r="C119" s="308" t="s">
        <v>0</v>
      </c>
      <c r="D119" s="367"/>
      <c r="E119" s="367"/>
      <c r="F119" s="367"/>
      <c r="G119" s="308"/>
      <c r="H119" s="308"/>
      <c r="I119" s="308"/>
      <c r="J119" s="323"/>
      <c r="K119" s="378"/>
      <c r="L119" s="336"/>
      <c r="M119" s="318"/>
      <c r="N119" s="301"/>
      <c r="R119" s="295"/>
      <c r="S119" s="297"/>
      <c r="AE119" s="295"/>
    </row>
    <row r="120" spans="1:31" ht="25" customHeight="1" thickBot="1">
      <c r="A120" s="308"/>
      <c r="B120" s="363"/>
      <c r="C120" s="308"/>
      <c r="D120" s="674" t="s">
        <v>36</v>
      </c>
      <c r="E120" s="674"/>
      <c r="F120" s="674"/>
      <c r="G120" s="674"/>
      <c r="H120" s="674"/>
      <c r="I120" s="674"/>
      <c r="J120" s="674"/>
      <c r="K120" s="378"/>
      <c r="L120" s="336"/>
      <c r="M120" s="318"/>
      <c r="N120" s="301"/>
      <c r="P120" s="307"/>
      <c r="Q120" s="302"/>
      <c r="R120" s="295"/>
      <c r="S120" s="297"/>
      <c r="AE120" s="295"/>
    </row>
    <row r="121" spans="1:31" ht="25" customHeight="1" thickTop="1" thickBot="1">
      <c r="A121" s="308"/>
      <c r="B121" s="363"/>
      <c r="C121" s="308"/>
      <c r="D121" s="367" t="s">
        <v>33</v>
      </c>
      <c r="E121" s="676" t="s">
        <v>198</v>
      </c>
      <c r="F121" s="676"/>
      <c r="G121" s="676"/>
      <c r="H121" s="676"/>
      <c r="I121" s="676"/>
      <c r="J121" s="328" t="s">
        <v>199</v>
      </c>
      <c r="K121" s="320">
        <v>550</v>
      </c>
      <c r="L121" s="326" t="s">
        <v>202</v>
      </c>
      <c r="M121" s="318" t="str">
        <f>IF(K121&lt;&gt;550,"WARNING: Required MIN_VSYNC_BP value is 550","")</f>
        <v/>
      </c>
      <c r="N121" s="301"/>
      <c r="P121" s="307"/>
      <c r="Q121" s="302"/>
      <c r="R121" s="295"/>
      <c r="S121" s="297"/>
      <c r="AE121" s="295"/>
    </row>
    <row r="122" spans="1:31" ht="25" customHeight="1" thickTop="1" thickBot="1">
      <c r="A122" s="308"/>
      <c r="B122" s="363"/>
      <c r="C122" s="308"/>
      <c r="D122" s="308"/>
      <c r="E122" s="308"/>
      <c r="F122" s="308"/>
      <c r="G122" s="308"/>
      <c r="H122" s="308"/>
      <c r="I122" s="367"/>
      <c r="J122" s="308"/>
      <c r="K122" s="374"/>
      <c r="L122" s="377"/>
      <c r="M122" s="318"/>
      <c r="N122" s="301"/>
      <c r="P122" s="307"/>
      <c r="Q122" s="302"/>
      <c r="R122" s="295"/>
      <c r="S122" s="297"/>
      <c r="AE122" s="295"/>
    </row>
    <row r="123" spans="1:31" ht="25" customHeight="1" thickTop="1" thickBot="1">
      <c r="A123" s="308"/>
      <c r="B123" s="363"/>
      <c r="C123" s="308"/>
      <c r="D123" s="367" t="s">
        <v>33</v>
      </c>
      <c r="E123" s="677" t="s">
        <v>212</v>
      </c>
      <c r="F123" s="677"/>
      <c r="G123" s="677"/>
      <c r="H123" s="677"/>
      <c r="I123" s="677"/>
      <c r="J123" s="328" t="s">
        <v>200</v>
      </c>
      <c r="K123" s="376">
        <v>7</v>
      </c>
      <c r="L123" s="326" t="s">
        <v>188</v>
      </c>
      <c r="M123" s="318" t="str">
        <f>IF(K123&lt;&gt;7,"WARNING: Required MIN_VBPORCH value is 7","")</f>
        <v/>
      </c>
      <c r="N123" s="301"/>
      <c r="P123" s="307"/>
      <c r="Q123" s="302"/>
      <c r="R123" s="295"/>
      <c r="S123" s="297"/>
      <c r="AE123" s="295"/>
    </row>
    <row r="124" spans="1:31" ht="25" customHeight="1" thickTop="1" thickBot="1">
      <c r="A124" s="308"/>
      <c r="B124" s="363"/>
      <c r="C124" s="308"/>
      <c r="D124" s="367" t="s">
        <v>33</v>
      </c>
      <c r="E124" s="676" t="s">
        <v>247</v>
      </c>
      <c r="F124" s="676"/>
      <c r="G124" s="676"/>
      <c r="H124" s="676"/>
      <c r="I124" s="676"/>
      <c r="J124" s="321" t="s">
        <v>201</v>
      </c>
      <c r="K124" s="376">
        <v>3</v>
      </c>
      <c r="L124" s="326" t="s">
        <v>189</v>
      </c>
      <c r="M124" s="318" t="str">
        <f>IF(K124&lt;&gt;3,"WARNING: Required MIN_V_FPORCH value is 3","")</f>
        <v/>
      </c>
      <c r="N124" s="301"/>
      <c r="P124" s="307"/>
      <c r="Q124" s="302"/>
      <c r="R124" s="295"/>
      <c r="S124" s="297"/>
      <c r="AE124" s="295"/>
    </row>
    <row r="125" spans="1:31" ht="25" customHeight="1" thickTop="1">
      <c r="A125" s="308"/>
      <c r="B125" s="363"/>
      <c r="C125" s="308"/>
      <c r="D125" s="308"/>
      <c r="E125" s="308"/>
      <c r="F125" s="308"/>
      <c r="G125" s="308"/>
      <c r="H125" s="308"/>
      <c r="I125" s="308"/>
      <c r="J125" s="323"/>
      <c r="K125" s="323"/>
      <c r="L125" s="323"/>
      <c r="M125" s="318"/>
      <c r="N125" s="301"/>
      <c r="P125" s="307"/>
      <c r="Q125" s="302"/>
      <c r="R125" s="295"/>
      <c r="S125" s="297"/>
      <c r="AE125" s="295"/>
    </row>
    <row r="126" spans="1:31" ht="23">
      <c r="A126" s="308"/>
      <c r="B126" s="363"/>
      <c r="C126" s="356" t="s">
        <v>37</v>
      </c>
      <c r="D126" s="308"/>
      <c r="E126" s="308"/>
      <c r="F126" s="308"/>
      <c r="G126" s="308"/>
      <c r="H126" s="308"/>
      <c r="I126" s="308"/>
      <c r="J126" s="323"/>
      <c r="K126" s="323"/>
      <c r="L126" s="323"/>
      <c r="M126" s="318"/>
      <c r="N126" s="301"/>
      <c r="P126" s="307"/>
      <c r="Q126" s="302"/>
      <c r="R126" s="295"/>
      <c r="S126" s="297"/>
      <c r="AE126" s="295"/>
    </row>
    <row r="127" spans="1:31" ht="23.5" customHeight="1">
      <c r="A127" s="308"/>
      <c r="B127" s="363"/>
      <c r="C127" s="308" t="s">
        <v>0</v>
      </c>
      <c r="D127" s="308"/>
      <c r="E127" s="308"/>
      <c r="F127" s="308"/>
      <c r="G127" s="308"/>
      <c r="H127" s="308"/>
      <c r="I127" s="308"/>
      <c r="J127" s="323"/>
      <c r="K127" s="323"/>
      <c r="L127" s="323"/>
      <c r="M127" s="318"/>
      <c r="N127" s="301"/>
      <c r="P127" s="307"/>
      <c r="Q127" s="302"/>
      <c r="R127" s="295"/>
      <c r="S127" s="297"/>
      <c r="AE127" s="295"/>
    </row>
    <row r="128" spans="1:31" ht="20">
      <c r="A128" s="308"/>
      <c r="B128" s="363"/>
      <c r="C128" s="308"/>
      <c r="D128" s="367" t="s">
        <v>38</v>
      </c>
      <c r="E128" s="367"/>
      <c r="F128" s="367"/>
      <c r="G128" s="367"/>
      <c r="H128" s="367"/>
      <c r="I128" s="367"/>
      <c r="J128" s="371"/>
      <c r="K128" s="371"/>
      <c r="L128" s="371"/>
      <c r="M128" s="318"/>
      <c r="N128" s="301"/>
      <c r="P128" s="307"/>
      <c r="Q128" s="302"/>
      <c r="R128" s="295"/>
      <c r="S128" s="297"/>
      <c r="AE128" s="295"/>
    </row>
    <row r="129" spans="1:36" ht="25" customHeight="1">
      <c r="A129" s="308"/>
      <c r="B129" s="363"/>
      <c r="C129" s="308"/>
      <c r="D129" s="367" t="s">
        <v>39</v>
      </c>
      <c r="E129" s="367"/>
      <c r="F129" s="367"/>
      <c r="G129" s="367"/>
      <c r="H129" s="367"/>
      <c r="I129" s="367"/>
      <c r="J129" s="369"/>
      <c r="K129" s="369"/>
      <c r="L129" s="369"/>
      <c r="M129" s="318"/>
      <c r="P129" s="307"/>
      <c r="Q129" s="302"/>
      <c r="R129" s="295"/>
      <c r="S129" s="297"/>
      <c r="AE129" s="295"/>
    </row>
    <row r="130" spans="1:36" ht="25" customHeight="1" thickBot="1">
      <c r="A130" s="308"/>
      <c r="B130" s="363"/>
      <c r="C130" s="308"/>
      <c r="D130" s="375" t="s">
        <v>40</v>
      </c>
      <c r="E130" s="367"/>
      <c r="F130" s="367"/>
      <c r="G130" s="367"/>
      <c r="H130" s="367"/>
      <c r="I130" s="367"/>
      <c r="J130" s="371"/>
      <c r="K130" s="369"/>
      <c r="L130" s="369"/>
      <c r="M130" s="318"/>
      <c r="P130" s="307"/>
      <c r="Q130" s="302"/>
      <c r="R130" s="295"/>
      <c r="S130" s="297"/>
      <c r="AE130" s="295"/>
    </row>
    <row r="131" spans="1:36" ht="25" customHeight="1" thickTop="1" thickBot="1">
      <c r="B131" s="363"/>
      <c r="C131" s="308"/>
      <c r="D131" s="360"/>
      <c r="E131" s="367" t="s">
        <v>203</v>
      </c>
      <c r="F131" s="374"/>
      <c r="G131" s="374"/>
      <c r="H131" s="373"/>
      <c r="I131" s="308"/>
      <c r="J131" s="321" t="s">
        <v>207</v>
      </c>
      <c r="K131" s="372">
        <v>600</v>
      </c>
      <c r="L131" s="359"/>
      <c r="M131" s="318" t="str">
        <f>IF(K131&lt;&gt;600,"WARNING: Required M value is 600","")</f>
        <v/>
      </c>
      <c r="P131" s="307"/>
      <c r="Q131" s="302"/>
      <c r="R131" s="295"/>
      <c r="S131" s="297"/>
      <c r="AE131" s="295"/>
    </row>
    <row r="132" spans="1:36" ht="25" customHeight="1" thickTop="1" thickBot="1">
      <c r="B132" s="363"/>
      <c r="C132" s="308"/>
      <c r="D132" s="361"/>
      <c r="E132" s="367" t="s">
        <v>204</v>
      </c>
      <c r="F132" s="374"/>
      <c r="G132" s="374"/>
      <c r="H132" s="373"/>
      <c r="I132" s="374"/>
      <c r="J132" s="321" t="s">
        <v>208</v>
      </c>
      <c r="K132" s="372">
        <v>40</v>
      </c>
      <c r="L132" s="359"/>
      <c r="M132" s="318" t="str">
        <f>IF(K132&lt;&gt;40,"WARNING: Required C value is 40","")</f>
        <v/>
      </c>
      <c r="P132" s="307"/>
      <c r="Q132" s="302"/>
      <c r="R132" s="295"/>
      <c r="S132" s="297"/>
      <c r="AE132" s="295"/>
      <c r="AJ132" s="301"/>
    </row>
    <row r="133" spans="1:36" ht="25" customHeight="1" thickTop="1" thickBot="1">
      <c r="B133" s="363"/>
      <c r="C133" s="308"/>
      <c r="D133" s="361"/>
      <c r="E133" s="367" t="s">
        <v>205</v>
      </c>
      <c r="F133" s="367"/>
      <c r="G133" s="367"/>
      <c r="H133" s="373"/>
      <c r="I133" s="367"/>
      <c r="J133" s="321" t="s">
        <v>209</v>
      </c>
      <c r="K133" s="372">
        <v>128</v>
      </c>
      <c r="L133" s="359"/>
      <c r="M133" s="318" t="str">
        <f>IF(K133&lt;&gt;128,"WARNING: Required K value is 128","")</f>
        <v/>
      </c>
      <c r="P133" s="307"/>
      <c r="Q133" s="302"/>
      <c r="R133" s="295"/>
      <c r="S133" s="297"/>
      <c r="AE133" s="295"/>
      <c r="AJ133" s="301"/>
    </row>
    <row r="134" spans="1:36" ht="25" customHeight="1" thickTop="1" thickBot="1">
      <c r="B134" s="363"/>
      <c r="C134" s="308"/>
      <c r="D134" s="361"/>
      <c r="E134" s="367" t="s">
        <v>206</v>
      </c>
      <c r="F134" s="367"/>
      <c r="G134" s="367"/>
      <c r="H134" s="373"/>
      <c r="I134" s="367"/>
      <c r="J134" s="321" t="s">
        <v>210</v>
      </c>
      <c r="K134" s="372">
        <v>20</v>
      </c>
      <c r="L134" s="359"/>
      <c r="M134" s="318" t="str">
        <f>IF(K134&lt;&gt;20,"WARNING: Required J value is 20","")</f>
        <v/>
      </c>
      <c r="R134" s="295"/>
      <c r="S134" s="297"/>
      <c r="AE134" s="295"/>
      <c r="AJ134" s="301"/>
    </row>
    <row r="135" spans="1:36" ht="25" customHeight="1" thickTop="1" thickBot="1">
      <c r="B135" s="363"/>
      <c r="C135" s="308"/>
      <c r="D135" s="361"/>
      <c r="E135" s="367"/>
      <c r="F135" s="367"/>
      <c r="G135" s="367"/>
      <c r="H135" s="367"/>
      <c r="I135" s="367"/>
      <c r="J135" s="371"/>
      <c r="K135" s="359"/>
      <c r="L135" s="359"/>
      <c r="M135" s="318"/>
      <c r="R135" s="295"/>
      <c r="S135" s="297"/>
      <c r="AE135" s="295"/>
    </row>
    <row r="136" spans="1:36" ht="25" customHeight="1" thickTop="1" thickBot="1">
      <c r="B136" s="363"/>
      <c r="C136" s="308"/>
      <c r="D136" s="361"/>
      <c r="E136" s="367" t="s">
        <v>52</v>
      </c>
      <c r="F136" s="367"/>
      <c r="G136" s="367"/>
      <c r="H136" s="367"/>
      <c r="I136" s="367"/>
      <c r="J136" s="328" t="s">
        <v>211</v>
      </c>
      <c r="K136" s="372">
        <f>GTF_K_VAR/256*GTF_M_VAR</f>
        <v>300</v>
      </c>
      <c r="L136" s="359"/>
      <c r="M136" s="318"/>
      <c r="R136" s="295"/>
      <c r="S136" s="297"/>
      <c r="AE136" s="295"/>
    </row>
    <row r="137" spans="1:36" ht="25" customHeight="1" thickTop="1" thickBot="1">
      <c r="B137" s="363"/>
      <c r="C137" s="308"/>
      <c r="D137" s="361"/>
      <c r="E137" s="367" t="s">
        <v>53</v>
      </c>
      <c r="F137" s="367"/>
      <c r="G137" s="367"/>
      <c r="H137" s="367"/>
      <c r="I137" s="367"/>
      <c r="J137" s="328" t="s">
        <v>211</v>
      </c>
      <c r="K137" s="372">
        <f>((GTF_C_VAR-GTF_J_VAR)*GTF_K_VAR/256)+GTF_J_VAR</f>
        <v>30</v>
      </c>
      <c r="L137" s="359"/>
      <c r="M137" s="318"/>
      <c r="R137" s="295"/>
      <c r="S137" s="297"/>
      <c r="AE137" s="295"/>
    </row>
    <row r="138" spans="1:36" ht="22" thickTop="1">
      <c r="B138" s="363"/>
      <c r="C138" s="308"/>
      <c r="D138" s="361"/>
      <c r="E138" s="360"/>
      <c r="F138" s="367"/>
      <c r="G138" s="367"/>
      <c r="H138" s="367"/>
      <c r="I138" s="367"/>
      <c r="J138" s="371"/>
      <c r="K138" s="370"/>
      <c r="L138" s="359"/>
      <c r="M138" s="318"/>
      <c r="R138" s="295"/>
      <c r="S138" s="297"/>
      <c r="AE138" s="295"/>
    </row>
    <row r="139" spans="1:36" ht="21">
      <c r="B139" s="363"/>
      <c r="C139" s="308"/>
      <c r="D139" s="361"/>
      <c r="E139" s="360"/>
      <c r="F139" s="367"/>
      <c r="G139" s="367"/>
      <c r="H139" s="367"/>
      <c r="I139" s="367"/>
      <c r="J139" s="371"/>
      <c r="K139" s="370"/>
      <c r="L139" s="359"/>
      <c r="M139" s="318"/>
      <c r="R139" s="295"/>
      <c r="S139" s="297"/>
      <c r="AE139" s="295"/>
    </row>
    <row r="140" spans="1:36" ht="24" thickBot="1">
      <c r="B140" s="330" t="s">
        <v>74</v>
      </c>
      <c r="C140" s="308"/>
      <c r="D140" s="361"/>
      <c r="E140" s="360"/>
      <c r="F140" s="367"/>
      <c r="G140" s="367"/>
      <c r="H140" s="367"/>
      <c r="I140" s="367"/>
      <c r="J140" s="371"/>
      <c r="K140" s="370"/>
      <c r="L140" s="359"/>
      <c r="M140" s="318"/>
      <c r="R140" s="295"/>
      <c r="S140" s="297"/>
      <c r="AE140" s="295"/>
    </row>
    <row r="141" spans="1:36" ht="22" thickTop="1" thickBot="1">
      <c r="B141" s="363"/>
      <c r="C141" s="308"/>
      <c r="D141" s="676" t="s">
        <v>168</v>
      </c>
      <c r="E141" s="676"/>
      <c r="F141" s="676"/>
      <c r="G141" s="676"/>
      <c r="H141" s="676"/>
      <c r="I141" s="676"/>
      <c r="J141" s="328" t="s">
        <v>211</v>
      </c>
      <c r="K141" s="364">
        <f>IF(AND((RED_BLANK_RQD="y"),OR((RED_BLANK_VER=2),(RED_BLANK_VER=3))),K143,K142)</f>
        <v>160</v>
      </c>
      <c r="L141" s="570" t="s">
        <v>297</v>
      </c>
      <c r="M141" s="571"/>
      <c r="R141" s="295"/>
      <c r="S141" s="297"/>
      <c r="AE141" s="295"/>
    </row>
    <row r="142" spans="1:36" ht="22" thickTop="1" thickBot="1">
      <c r="B142" s="363"/>
      <c r="C142" s="308"/>
      <c r="D142" s="673" t="s">
        <v>216</v>
      </c>
      <c r="E142" s="673"/>
      <c r="F142" s="673"/>
      <c r="G142" s="673"/>
      <c r="H142" s="673"/>
      <c r="I142" s="673"/>
      <c r="J142" s="321" t="s">
        <v>214</v>
      </c>
      <c r="K142" s="364">
        <v>160</v>
      </c>
      <c r="L142" s="359"/>
      <c r="M142" s="318" t="str">
        <f>IF(K142&lt;&gt;160,"WARNING: Required hblank value is 160","")</f>
        <v/>
      </c>
      <c r="R142" s="295"/>
      <c r="S142" s="297"/>
      <c r="AE142" s="295"/>
    </row>
    <row r="143" spans="1:36" ht="22" thickTop="1" thickBot="1">
      <c r="B143" s="363"/>
      <c r="C143" s="308"/>
      <c r="D143" s="684" t="s">
        <v>217</v>
      </c>
      <c r="E143" s="684"/>
      <c r="F143" s="684"/>
      <c r="G143" s="684"/>
      <c r="H143" s="684"/>
      <c r="I143" s="684"/>
      <c r="J143" s="321" t="s">
        <v>215</v>
      </c>
      <c r="K143" s="364">
        <v>80</v>
      </c>
      <c r="L143" s="359"/>
      <c r="M143" s="318" t="str">
        <f>IF(K143&lt;&gt;80,"WARNING: Required hblank value is 80","")</f>
        <v/>
      </c>
      <c r="R143" s="295"/>
      <c r="S143" s="297"/>
      <c r="AE143" s="295"/>
    </row>
    <row r="144" spans="1:36" ht="22" thickTop="1" thickBot="1">
      <c r="B144" s="363"/>
      <c r="C144" s="308"/>
      <c r="D144" s="676" t="s">
        <v>184</v>
      </c>
      <c r="E144" s="676"/>
      <c r="F144" s="676"/>
      <c r="G144" s="676"/>
      <c r="H144" s="676"/>
      <c r="I144" s="676"/>
      <c r="J144" s="328" t="s">
        <v>193</v>
      </c>
      <c r="K144" s="364">
        <v>8</v>
      </c>
      <c r="L144" s="570" t="s">
        <v>296</v>
      </c>
      <c r="M144" s="571" t="str">
        <f>IF(K144&lt;&gt;8,"WARNING: Required H_FRONT_PORCH value is 8","")</f>
        <v/>
      </c>
      <c r="R144" s="295"/>
      <c r="S144" s="297"/>
      <c r="AE144" s="295"/>
    </row>
    <row r="145" spans="2:31" ht="22" thickTop="1" thickBot="1">
      <c r="B145" s="363"/>
      <c r="C145" s="308"/>
      <c r="D145" s="676" t="s">
        <v>219</v>
      </c>
      <c r="E145" s="676"/>
      <c r="F145" s="676"/>
      <c r="G145" s="676"/>
      <c r="H145" s="676"/>
      <c r="I145" s="676"/>
      <c r="J145" s="328" t="s">
        <v>218</v>
      </c>
      <c r="K145" s="364">
        <v>32</v>
      </c>
      <c r="L145" s="570" t="s">
        <v>298</v>
      </c>
      <c r="M145" s="571" t="str">
        <f>IF(K145&lt;&gt;32,"WARNING: Required RB_H_SYNC value is 32","")</f>
        <v/>
      </c>
      <c r="R145" s="295"/>
      <c r="S145" s="297"/>
      <c r="AE145" s="295"/>
    </row>
    <row r="146" spans="2:31" ht="25" thickTop="1" thickBot="1">
      <c r="B146" s="363"/>
      <c r="C146" s="308"/>
      <c r="D146" s="369"/>
      <c r="E146" s="368"/>
      <c r="F146" s="308"/>
      <c r="G146" s="308"/>
      <c r="H146" s="308"/>
      <c r="I146" s="367"/>
      <c r="J146" s="308"/>
      <c r="K146" s="366"/>
      <c r="L146" s="359"/>
      <c r="M146" s="318"/>
      <c r="R146" s="295"/>
      <c r="S146" s="297"/>
      <c r="AE146" s="295"/>
    </row>
    <row r="147" spans="2:31" ht="22" thickTop="1" thickBot="1">
      <c r="B147" s="363"/>
      <c r="C147" s="308"/>
      <c r="D147" s="676" t="s">
        <v>228</v>
      </c>
      <c r="E147" s="676"/>
      <c r="F147" s="676"/>
      <c r="G147" s="676"/>
      <c r="H147" s="676"/>
      <c r="I147" s="676"/>
      <c r="J147" s="321" t="s">
        <v>220</v>
      </c>
      <c r="K147" s="320">
        <v>460</v>
      </c>
      <c r="L147" s="570" t="s">
        <v>299</v>
      </c>
      <c r="M147" s="571" t="str">
        <f>IF(K147&lt;&gt;460,"WARNING: Required RB_MIN_VBLANK value is 460","")</f>
        <v/>
      </c>
      <c r="R147" s="295"/>
      <c r="S147" s="297"/>
      <c r="AE147" s="295"/>
    </row>
    <row r="148" spans="2:31" ht="22" thickTop="1" thickBot="1">
      <c r="B148" s="363"/>
      <c r="C148" s="308"/>
      <c r="D148" s="676" t="s">
        <v>170</v>
      </c>
      <c r="E148" s="676"/>
      <c r="F148" s="676"/>
      <c r="G148" s="676"/>
      <c r="H148" s="676"/>
      <c r="I148" s="676"/>
      <c r="J148" s="328" t="s">
        <v>211</v>
      </c>
      <c r="K148" s="364">
        <f>IF(AND((RED_BLANK_RQD="y"),OR((RED_BLANK_VER=2),(RED_BLANK_VER=3))),K150,K149)</f>
        <v>3</v>
      </c>
      <c r="L148" s="326" t="s">
        <v>235</v>
      </c>
      <c r="M148" s="318"/>
      <c r="R148" s="295"/>
      <c r="S148" s="297"/>
      <c r="AE148" s="295"/>
    </row>
    <row r="149" spans="2:31" ht="22" thickTop="1" thickBot="1">
      <c r="B149" s="363"/>
      <c r="C149" s="308"/>
      <c r="D149" s="673" t="s">
        <v>222</v>
      </c>
      <c r="E149" s="673"/>
      <c r="F149" s="673"/>
      <c r="G149" s="673"/>
      <c r="H149" s="673"/>
      <c r="I149" s="673"/>
      <c r="J149" s="321" t="s">
        <v>201</v>
      </c>
      <c r="K149" s="364">
        <v>3</v>
      </c>
      <c r="L149" s="359"/>
      <c r="M149" s="318" t="str">
        <f>IF(K149&lt;&gt;3,"WARNING: Required RB_V_FPORCH value is 3","")</f>
        <v/>
      </c>
      <c r="R149" s="295"/>
      <c r="S149" s="297"/>
      <c r="AE149" s="295"/>
    </row>
    <row r="150" spans="2:31" ht="22" thickTop="1" thickBot="1">
      <c r="B150" s="363"/>
      <c r="C150" s="308"/>
      <c r="D150" s="673" t="s">
        <v>223</v>
      </c>
      <c r="E150" s="673"/>
      <c r="F150" s="673"/>
      <c r="G150" s="673"/>
      <c r="H150" s="673"/>
      <c r="I150" s="673"/>
      <c r="J150" s="321" t="s">
        <v>221</v>
      </c>
      <c r="K150" s="364">
        <v>1</v>
      </c>
      <c r="L150" s="359"/>
      <c r="M150" s="318" t="str">
        <f>IF(K150&lt;&gt;1,"WARNING: Required RB_V_FPORCH value is 1","")</f>
        <v/>
      </c>
      <c r="R150" s="295"/>
      <c r="S150" s="297"/>
      <c r="W150" s="295"/>
      <c r="X150" s="297"/>
      <c r="AE150" s="295"/>
    </row>
    <row r="151" spans="2:31" ht="25" thickTop="1" thickBot="1">
      <c r="B151" s="363"/>
      <c r="C151" s="308"/>
      <c r="K151" s="365"/>
      <c r="L151" s="359"/>
      <c r="M151" s="318"/>
      <c r="R151" s="295"/>
      <c r="S151" s="297"/>
      <c r="W151" s="295"/>
      <c r="X151" s="297"/>
      <c r="Y151" s="316"/>
      <c r="AE151" s="295"/>
    </row>
    <row r="152" spans="2:31" ht="25" thickTop="1" thickBot="1">
      <c r="B152" s="363"/>
      <c r="C152" s="308"/>
      <c r="D152" s="676" t="s">
        <v>171</v>
      </c>
      <c r="E152" s="676"/>
      <c r="F152" s="676"/>
      <c r="G152" s="676"/>
      <c r="H152" s="676"/>
      <c r="I152" s="676"/>
      <c r="J152" s="328" t="s">
        <v>211</v>
      </c>
      <c r="K152" s="364">
        <f>IF(AND((RED_BLANK_RQD="y"),OR((RED_BLANK_VER=2),(RED_BLANK_VER=3))),K154,K153)</f>
        <v>7</v>
      </c>
      <c r="L152" s="326" t="s">
        <v>236</v>
      </c>
      <c r="M152" s="318"/>
      <c r="O152" s="295"/>
      <c r="P152" s="297"/>
      <c r="Q152" s="300"/>
      <c r="R152" s="295"/>
      <c r="S152" s="297"/>
      <c r="W152" s="316"/>
      <c r="X152" s="346"/>
      <c r="Y152" s="316"/>
      <c r="AE152" s="295"/>
    </row>
    <row r="153" spans="2:31" ht="25" thickTop="1" thickBot="1">
      <c r="B153" s="363"/>
      <c r="C153" s="308"/>
      <c r="D153" s="673" t="s">
        <v>225</v>
      </c>
      <c r="E153" s="673"/>
      <c r="F153" s="673"/>
      <c r="G153" s="673"/>
      <c r="H153" s="673"/>
      <c r="I153" s="673"/>
      <c r="J153" s="321" t="s">
        <v>200</v>
      </c>
      <c r="K153" s="364">
        <v>7</v>
      </c>
      <c r="L153" s="359"/>
      <c r="M153" s="318" t="str">
        <f>IF(K153&lt;&gt;7,"WARNING: Required RB_MIN_V_BPORCH value is 7","")</f>
        <v/>
      </c>
      <c r="O153" s="295"/>
      <c r="P153" s="297"/>
      <c r="Q153" s="300"/>
      <c r="R153" s="295"/>
      <c r="S153" s="295"/>
      <c r="T153" s="297"/>
      <c r="W153" s="316"/>
      <c r="X153" s="346"/>
      <c r="Y153" s="316"/>
      <c r="AE153" s="295"/>
    </row>
    <row r="154" spans="2:31" ht="25" thickTop="1" thickBot="1">
      <c r="B154" s="363"/>
      <c r="C154" s="308"/>
      <c r="D154" s="673" t="s">
        <v>248</v>
      </c>
      <c r="E154" s="673"/>
      <c r="F154" s="673"/>
      <c r="G154" s="673"/>
      <c r="H154" s="673"/>
      <c r="I154" s="673"/>
      <c r="J154" s="321" t="s">
        <v>224</v>
      </c>
      <c r="K154" s="364">
        <v>6</v>
      </c>
      <c r="L154" s="359"/>
      <c r="M154" s="318" t="str">
        <f>IF(K154&lt;&gt;6,"WARNING: Required RB_MIN_V_BPORCH value is 6","")</f>
        <v/>
      </c>
      <c r="O154" s="316"/>
      <c r="P154" s="346"/>
      <c r="Q154" s="347"/>
      <c r="R154" s="295"/>
      <c r="S154" s="295"/>
      <c r="T154" s="297"/>
      <c r="V154" s="316"/>
      <c r="W154" s="316"/>
      <c r="X154" s="346"/>
      <c r="Y154" s="316"/>
      <c r="AE154" s="295"/>
    </row>
    <row r="155" spans="2:31" ht="24" thickTop="1">
      <c r="B155" s="363"/>
      <c r="C155" s="308"/>
      <c r="D155" s="361"/>
      <c r="E155" s="361"/>
      <c r="F155" s="308"/>
      <c r="G155" s="308"/>
      <c r="H155" s="308"/>
      <c r="I155" s="360"/>
      <c r="K155" s="362"/>
      <c r="L155" s="359"/>
      <c r="M155" s="318"/>
      <c r="O155" s="316"/>
      <c r="P155" s="346"/>
      <c r="Q155" s="347"/>
      <c r="R155" s="295"/>
      <c r="S155" s="316"/>
      <c r="T155" s="346"/>
      <c r="U155" s="316"/>
      <c r="V155" s="316"/>
      <c r="W155" s="316"/>
      <c r="X155" s="346"/>
      <c r="Y155" s="316"/>
      <c r="AE155" s="295"/>
    </row>
    <row r="156" spans="2:31" ht="24" thickBot="1">
      <c r="B156" s="330" t="s">
        <v>159</v>
      </c>
      <c r="C156" s="308"/>
      <c r="D156" s="361"/>
      <c r="E156" s="361"/>
      <c r="F156" s="308"/>
      <c r="G156" s="308"/>
      <c r="H156" s="308"/>
      <c r="I156" s="360"/>
      <c r="L156" s="359"/>
      <c r="M156" s="318"/>
      <c r="O156" s="316"/>
      <c r="P156" s="346"/>
      <c r="Q156" s="347"/>
      <c r="R156" s="295"/>
      <c r="S156" s="316"/>
      <c r="T156" s="346"/>
      <c r="U156" s="316"/>
      <c r="V156" s="316"/>
      <c r="W156" s="316"/>
      <c r="X156" s="346"/>
      <c r="Y156" s="316"/>
      <c r="AE156" s="295"/>
    </row>
    <row r="157" spans="2:31" ht="25" thickTop="1" thickBot="1">
      <c r="B157" s="330"/>
      <c r="C157" s="308"/>
      <c r="D157" s="674" t="s">
        <v>180</v>
      </c>
      <c r="E157" s="674"/>
      <c r="F157" s="674"/>
      <c r="G157" s="674"/>
      <c r="H157" s="674"/>
      <c r="I157" s="674"/>
      <c r="J157" s="328" t="s">
        <v>211</v>
      </c>
      <c r="K157" s="320">
        <f>IF(AND((RED_BLANK_RQD="y"),OR((RED_BLANK_VER=2),(RED_BLANK_VER=3))),FINE_CLOCK_STEP,COARSE_CLOCK_STEP)</f>
        <v>0.25</v>
      </c>
      <c r="L157" s="575" t="s">
        <v>237</v>
      </c>
      <c r="M157" s="576"/>
      <c r="O157" s="316"/>
      <c r="P157" s="346"/>
      <c r="Q157" s="347"/>
      <c r="R157" s="295"/>
      <c r="S157" s="316"/>
      <c r="T157" s="346"/>
      <c r="U157" s="316"/>
      <c r="V157" s="316"/>
      <c r="W157" s="316"/>
      <c r="X157" s="346"/>
      <c r="Y157" s="316"/>
      <c r="AE157" s="295"/>
    </row>
    <row r="158" spans="2:31" ht="25" thickTop="1" thickBot="1">
      <c r="B158" s="357"/>
      <c r="C158" s="308"/>
      <c r="D158" s="673" t="s">
        <v>233</v>
      </c>
      <c r="E158" s="673"/>
      <c r="F158" s="673"/>
      <c r="G158" s="673"/>
      <c r="H158" s="673"/>
      <c r="I158" s="673"/>
      <c r="J158" s="321" t="s">
        <v>226</v>
      </c>
      <c r="K158" s="320">
        <v>0.25</v>
      </c>
      <c r="L158" s="326" t="s">
        <v>238</v>
      </c>
      <c r="M158" s="318" t="str">
        <f>IF(K158&lt;&gt;0.25,"WARNING: Required COARSE_CLOCK_STEP value is 0.25","")</f>
        <v/>
      </c>
      <c r="O158" s="316"/>
      <c r="P158" s="346"/>
      <c r="Q158" s="347"/>
      <c r="R158" s="296"/>
      <c r="S158" s="316"/>
      <c r="T158" s="346"/>
      <c r="U158" s="316"/>
      <c r="V158" s="316"/>
      <c r="W158" s="316"/>
      <c r="X158" s="346"/>
      <c r="Y158" s="316"/>
      <c r="AE158" s="295"/>
    </row>
    <row r="159" spans="2:31" ht="25" thickTop="1" thickBot="1">
      <c r="B159" s="358"/>
      <c r="C159" s="308"/>
      <c r="D159" s="675" t="s">
        <v>234</v>
      </c>
      <c r="E159" s="675"/>
      <c r="F159" s="675"/>
      <c r="G159" s="675"/>
      <c r="H159" s="675"/>
      <c r="I159" s="675"/>
      <c r="J159" s="321" t="s">
        <v>227</v>
      </c>
      <c r="K159" s="320">
        <v>1E-3</v>
      </c>
      <c r="L159" s="326" t="s">
        <v>239</v>
      </c>
      <c r="M159" s="318" t="str">
        <f>IF(K159&lt;&gt;0.001,"WARNING: Required FINE_CLOCK_STEP value is 0.001","")</f>
        <v/>
      </c>
      <c r="O159" s="316"/>
      <c r="P159" s="346"/>
      <c r="Q159" s="347"/>
      <c r="R159" s="296"/>
      <c r="S159" s="316"/>
      <c r="T159" s="346"/>
      <c r="U159" s="316"/>
      <c r="V159" s="316"/>
      <c r="W159" s="316"/>
      <c r="X159" s="346"/>
      <c r="Y159" s="316"/>
      <c r="AE159" s="295"/>
    </row>
    <row r="160" spans="2:31" ht="24" thickTop="1">
      <c r="B160" s="358"/>
      <c r="C160" s="308"/>
      <c r="D160" s="308"/>
      <c r="E160" s="308"/>
      <c r="F160" s="308"/>
      <c r="G160" s="308"/>
      <c r="H160" s="308"/>
      <c r="I160" s="308"/>
      <c r="J160" s="308"/>
      <c r="K160" s="323"/>
      <c r="L160" s="323"/>
      <c r="M160" s="318"/>
      <c r="O160" s="316"/>
      <c r="P160" s="346"/>
      <c r="Q160" s="347"/>
      <c r="R160" s="333"/>
      <c r="S160" s="316"/>
      <c r="T160" s="346"/>
      <c r="U160" s="316"/>
      <c r="V160" s="316"/>
      <c r="W160" s="316"/>
      <c r="X160" s="346"/>
      <c r="Y160" s="316"/>
      <c r="AE160" s="295"/>
    </row>
    <row r="161" spans="1:31" ht="23">
      <c r="A161" s="316"/>
      <c r="B161" s="330" t="s">
        <v>162</v>
      </c>
      <c r="C161" s="316"/>
      <c r="D161" s="316"/>
      <c r="E161" s="316"/>
      <c r="F161" s="316"/>
      <c r="G161" s="316"/>
      <c r="H161" s="316"/>
      <c r="I161" s="316"/>
      <c r="J161" s="316"/>
      <c r="K161" s="333"/>
      <c r="L161" s="336"/>
      <c r="M161" s="325"/>
      <c r="O161" s="316"/>
      <c r="P161" s="346"/>
      <c r="Q161" s="347"/>
      <c r="R161" s="333"/>
      <c r="S161" s="316"/>
      <c r="T161" s="346"/>
      <c r="U161" s="316"/>
      <c r="V161" s="316"/>
      <c r="W161" s="316"/>
      <c r="X161" s="346"/>
      <c r="Y161" s="316"/>
      <c r="AE161" s="295"/>
    </row>
    <row r="162" spans="1:31" ht="24" thickBot="1">
      <c r="A162" s="316"/>
      <c r="B162" s="357"/>
      <c r="C162" s="316"/>
      <c r="D162" s="356" t="s">
        <v>165</v>
      </c>
      <c r="E162" s="316"/>
      <c r="F162" s="316"/>
      <c r="G162" s="356" t="s">
        <v>166</v>
      </c>
      <c r="H162" s="316"/>
      <c r="I162" s="316"/>
      <c r="J162" s="316"/>
      <c r="K162" s="333"/>
      <c r="L162" s="336"/>
      <c r="M162" s="325"/>
      <c r="O162" s="316"/>
      <c r="P162" s="346"/>
      <c r="Q162" s="347"/>
      <c r="R162" s="333"/>
      <c r="S162" s="316"/>
      <c r="T162" s="346"/>
      <c r="U162" s="316"/>
      <c r="V162" s="316"/>
      <c r="W162" s="316"/>
      <c r="X162" s="346"/>
      <c r="Y162" s="316"/>
      <c r="AA162" s="316"/>
      <c r="AB162" s="316"/>
      <c r="AC162" s="316"/>
      <c r="AE162" s="295"/>
    </row>
    <row r="163" spans="1:31" ht="24" customHeight="1" thickBot="1">
      <c r="A163" s="316"/>
      <c r="B163" s="322"/>
      <c r="C163" s="316"/>
      <c r="D163" s="316"/>
      <c r="E163" s="355" t="s">
        <v>167</v>
      </c>
      <c r="F163" s="316"/>
      <c r="G163" s="316"/>
      <c r="H163" s="316"/>
      <c r="I163" s="316"/>
      <c r="J163" s="316"/>
      <c r="K163" s="333"/>
      <c r="L163" s="336"/>
      <c r="M163" s="325"/>
      <c r="N163" s="308"/>
      <c r="O163" s="316"/>
      <c r="P163" s="346"/>
      <c r="Q163" s="347"/>
      <c r="R163" s="333"/>
      <c r="S163" s="316"/>
      <c r="T163" s="346"/>
      <c r="U163" s="316"/>
      <c r="V163" s="316"/>
      <c r="W163" s="316"/>
      <c r="X163" s="346"/>
      <c r="Y163" s="316"/>
      <c r="Z163" s="316"/>
      <c r="AA163" s="316"/>
      <c r="AB163" s="316"/>
      <c r="AC163" s="316"/>
      <c r="AE163" s="295"/>
    </row>
    <row r="164" spans="1:31" ht="24" customHeight="1" thickBot="1">
      <c r="A164" s="316"/>
      <c r="B164" s="322"/>
      <c r="C164" s="316"/>
      <c r="D164" s="354" t="s">
        <v>152</v>
      </c>
      <c r="E164" s="353">
        <v>4</v>
      </c>
      <c r="F164" s="316"/>
      <c r="G164" s="352" t="s">
        <v>163</v>
      </c>
      <c r="H164" s="351" t="s">
        <v>164</v>
      </c>
      <c r="I164" s="350" t="s">
        <v>145</v>
      </c>
      <c r="J164" s="349"/>
      <c r="K164" s="348"/>
      <c r="L164" s="336"/>
      <c r="M164" s="325"/>
      <c r="N164" s="308"/>
      <c r="O164" s="316"/>
      <c r="P164" s="346"/>
      <c r="Q164" s="347"/>
      <c r="R164" s="333"/>
      <c r="S164" s="316"/>
      <c r="T164" s="346"/>
      <c r="U164" s="316"/>
      <c r="V164" s="316"/>
      <c r="W164" s="316"/>
      <c r="X164" s="346"/>
      <c r="Y164" s="316"/>
      <c r="Z164" s="316"/>
      <c r="AA164" s="316"/>
      <c r="AB164" s="316"/>
      <c r="AC164" s="316"/>
      <c r="AE164" s="295"/>
    </row>
    <row r="165" spans="1:31" s="316" customFormat="1" ht="24" customHeight="1">
      <c r="B165" s="322"/>
      <c r="D165" s="340" t="s">
        <v>151</v>
      </c>
      <c r="E165" s="338">
        <f>E164+1</f>
        <v>5</v>
      </c>
      <c r="G165" s="345" t="s">
        <v>149</v>
      </c>
      <c r="H165" s="344" t="s">
        <v>150</v>
      </c>
      <c r="I165" s="681" t="s">
        <v>146</v>
      </c>
      <c r="J165" s="682"/>
      <c r="K165" s="683"/>
      <c r="L165" s="336"/>
      <c r="M165" s="325"/>
      <c r="P165" s="346"/>
      <c r="Q165" s="347"/>
      <c r="R165" s="333"/>
      <c r="T165" s="346"/>
      <c r="X165" s="346"/>
    </row>
    <row r="166" spans="1:31" s="316" customFormat="1" ht="24" customHeight="1" thickBot="1">
      <c r="B166" s="322"/>
      <c r="D166" s="340" t="s">
        <v>153</v>
      </c>
      <c r="E166" s="338">
        <f>E165+1</f>
        <v>6</v>
      </c>
      <c r="F166" s="343"/>
      <c r="G166" s="342" t="s">
        <v>150</v>
      </c>
      <c r="H166" s="341" t="s">
        <v>149</v>
      </c>
      <c r="I166" s="678" t="s">
        <v>183</v>
      </c>
      <c r="J166" s="679"/>
      <c r="K166" s="680"/>
      <c r="L166" s="336"/>
      <c r="M166" s="325"/>
      <c r="P166" s="346"/>
      <c r="Q166" s="347"/>
      <c r="R166" s="333"/>
      <c r="T166" s="346"/>
      <c r="X166" s="346"/>
      <c r="Y166" s="308"/>
    </row>
    <row r="167" spans="1:31" s="316" customFormat="1" ht="24" customHeight="1">
      <c r="B167" s="322"/>
      <c r="D167" s="340" t="s">
        <v>155</v>
      </c>
      <c r="E167" s="338">
        <f>E166+1</f>
        <v>7</v>
      </c>
      <c r="F167" s="337"/>
      <c r="K167" s="333"/>
      <c r="L167" s="336"/>
      <c r="M167" s="325"/>
      <c r="P167" s="346"/>
      <c r="Q167" s="347"/>
      <c r="R167" s="333"/>
      <c r="T167" s="346"/>
      <c r="W167" s="308"/>
      <c r="X167" s="317"/>
      <c r="Y167" s="308"/>
    </row>
    <row r="168" spans="1:31" s="316" customFormat="1" ht="24" customHeight="1">
      <c r="B168" s="322"/>
      <c r="D168" s="340" t="s">
        <v>154</v>
      </c>
      <c r="E168" s="338">
        <v>7</v>
      </c>
      <c r="F168" s="337"/>
      <c r="K168" s="333"/>
      <c r="L168" s="336"/>
      <c r="M168" s="325"/>
      <c r="P168" s="346"/>
      <c r="Q168" s="347"/>
      <c r="R168" s="333"/>
      <c r="T168" s="346"/>
      <c r="W168" s="317"/>
      <c r="X168" s="308"/>
      <c r="Y168" s="308"/>
    </row>
    <row r="169" spans="1:31" s="316" customFormat="1" ht="24" customHeight="1">
      <c r="B169" s="322"/>
      <c r="D169" s="340" t="s">
        <v>182</v>
      </c>
      <c r="E169" s="338">
        <f>E167+1</f>
        <v>8</v>
      </c>
      <c r="F169" s="337"/>
      <c r="K169" s="333"/>
      <c r="L169" s="336"/>
      <c r="M169" s="325"/>
      <c r="O169" s="308"/>
      <c r="P169" s="317"/>
      <c r="Q169" s="324"/>
      <c r="R169" s="333"/>
      <c r="S169" s="308"/>
      <c r="T169" s="317"/>
      <c r="U169" s="308"/>
      <c r="V169" s="308"/>
      <c r="W169" s="317"/>
      <c r="X169" s="308"/>
      <c r="Y169" s="308"/>
    </row>
    <row r="170" spans="1:31" s="316" customFormat="1" ht="24" customHeight="1">
      <c r="B170" s="322"/>
      <c r="D170" s="339" t="s">
        <v>142</v>
      </c>
      <c r="E170" s="338">
        <f>E169+1</f>
        <v>9</v>
      </c>
      <c r="F170" s="337"/>
      <c r="K170" s="333"/>
      <c r="L170" s="336"/>
      <c r="M170" s="325"/>
      <c r="O170" s="317"/>
      <c r="P170" s="324"/>
      <c r="Q170" s="323"/>
      <c r="R170" s="333"/>
      <c r="S170" s="317"/>
      <c r="T170" s="308"/>
      <c r="U170" s="308"/>
      <c r="V170" s="308"/>
      <c r="W170" s="317"/>
      <c r="X170" s="308"/>
      <c r="Y170" s="308"/>
    </row>
    <row r="171" spans="1:31" s="316" customFormat="1" ht="24" customHeight="1" thickBot="1">
      <c r="B171" s="322"/>
      <c r="D171" s="335" t="s">
        <v>141</v>
      </c>
      <c r="E171" s="334">
        <f>E170+1</f>
        <v>10</v>
      </c>
      <c r="K171" s="333"/>
      <c r="L171" s="319"/>
      <c r="M171" s="325"/>
      <c r="O171" s="317"/>
      <c r="P171" s="324"/>
      <c r="Q171" s="323"/>
      <c r="R171" s="333"/>
      <c r="S171" s="317"/>
      <c r="T171" s="308"/>
      <c r="U171" s="308"/>
      <c r="V171" s="308"/>
      <c r="W171" s="317"/>
      <c r="X171" s="308"/>
      <c r="Y171" s="308"/>
    </row>
    <row r="172" spans="1:31" s="316" customFormat="1" ht="24" customHeight="1" thickBot="1">
      <c r="B172" s="322"/>
      <c r="D172" s="332"/>
      <c r="E172" s="331"/>
      <c r="L172" s="319"/>
      <c r="M172" s="325"/>
      <c r="O172" s="317"/>
      <c r="P172" s="324"/>
      <c r="Q172" s="323"/>
      <c r="R172" s="333"/>
      <c r="S172" s="317"/>
      <c r="T172" s="308"/>
      <c r="U172" s="308"/>
      <c r="V172" s="308"/>
      <c r="W172" s="317"/>
      <c r="X172" s="308"/>
      <c r="Y172" s="308"/>
    </row>
    <row r="173" spans="1:31" s="316" customFormat="1" ht="24" customHeight="1" thickTop="1" thickBot="1">
      <c r="B173" s="330" t="s">
        <v>177</v>
      </c>
      <c r="E173" s="329"/>
      <c r="J173" s="328" t="s">
        <v>211</v>
      </c>
      <c r="K173" s="327">
        <f>IF(AND((RED_BLANK_RQD="y"),(RED_BLANK_VER=3)),K175,K174)</f>
        <v>0</v>
      </c>
      <c r="L173" s="570" t="s">
        <v>300</v>
      </c>
      <c r="M173" s="571"/>
      <c r="O173" s="317"/>
      <c r="P173" s="324"/>
      <c r="Q173" s="323"/>
      <c r="R173" s="333"/>
      <c r="S173" s="317"/>
      <c r="T173" s="308"/>
      <c r="U173" s="308"/>
      <c r="V173" s="308"/>
      <c r="W173" s="317"/>
      <c r="X173" s="308"/>
      <c r="Y173" s="308"/>
    </row>
    <row r="174" spans="1:31" s="316" customFormat="1" ht="24" customHeight="1" thickTop="1" thickBot="1">
      <c r="B174" s="322"/>
      <c r="D174" s="672" t="s">
        <v>229</v>
      </c>
      <c r="E174" s="672"/>
      <c r="F174" s="672"/>
      <c r="G174" s="672"/>
      <c r="H174" s="672"/>
      <c r="I174" s="672"/>
      <c r="J174" s="321" t="s">
        <v>231</v>
      </c>
      <c r="K174" s="320">
        <v>0</v>
      </c>
      <c r="L174" s="319"/>
      <c r="M174" s="318" t="str">
        <f>IF(K174&lt;&gt;0,"WARNING: Required V_FIELD_RATE_PPM_ADJUST value is 0","")</f>
        <v/>
      </c>
      <c r="O174" s="317"/>
      <c r="P174" s="324"/>
      <c r="Q174" s="323"/>
      <c r="R174" s="333"/>
      <c r="S174" s="317"/>
      <c r="T174" s="308"/>
      <c r="U174" s="308"/>
      <c r="V174" s="308"/>
      <c r="W174" s="317"/>
      <c r="X174" s="308"/>
      <c r="Y174" s="308"/>
    </row>
    <row r="175" spans="1:31" s="316" customFormat="1" ht="24" customHeight="1" thickTop="1" thickBot="1">
      <c r="B175" s="322"/>
      <c r="D175" s="672" t="s">
        <v>230</v>
      </c>
      <c r="E175" s="672"/>
      <c r="F175" s="672"/>
      <c r="G175" s="672"/>
      <c r="H175" s="672"/>
      <c r="I175" s="672"/>
      <c r="J175" s="321" t="s">
        <v>232</v>
      </c>
      <c r="K175" s="320">
        <f>Q17</f>
        <v>350</v>
      </c>
      <c r="L175" s="319"/>
      <c r="M175" s="318" t="str">
        <f>IF(K175&lt;&gt;350,"WARNING: Required V_FIELD_RATE_PPM_ADJ value is 350","")</f>
        <v/>
      </c>
      <c r="O175" s="317"/>
      <c r="P175" s="324"/>
      <c r="Q175" s="323"/>
      <c r="R175" s="323"/>
      <c r="S175" s="297"/>
      <c r="T175" s="295"/>
      <c r="U175" s="295"/>
      <c r="V175" s="308"/>
      <c r="W175" s="317"/>
      <c r="X175" s="308"/>
      <c r="Y175" s="308"/>
    </row>
    <row r="176" spans="1:31" s="316" customFormat="1" ht="24" customHeight="1" thickTop="1" thickBot="1">
      <c r="A176" s="308"/>
      <c r="B176" s="315"/>
      <c r="C176" s="313"/>
      <c r="D176" s="313"/>
      <c r="E176" s="314"/>
      <c r="F176" s="313"/>
      <c r="G176" s="313"/>
      <c r="H176" s="313"/>
      <c r="I176" s="313"/>
      <c r="J176" s="313"/>
      <c r="K176" s="313"/>
      <c r="L176" s="312"/>
      <c r="M176" s="311"/>
      <c r="O176" s="317"/>
      <c r="P176" s="324"/>
      <c r="Q176" s="323"/>
      <c r="R176" s="308"/>
      <c r="S176" s="297"/>
      <c r="T176" s="295"/>
      <c r="U176" s="295"/>
      <c r="V176" s="308"/>
      <c r="W176" s="317"/>
      <c r="X176" s="308"/>
      <c r="Y176" s="308"/>
    </row>
    <row r="177" spans="1:35" s="316" customFormat="1" ht="24" customHeight="1" thickTop="1">
      <c r="A177" s="310"/>
      <c r="B177" s="295"/>
      <c r="C177" s="295"/>
      <c r="D177" s="295"/>
      <c r="E177" s="295"/>
      <c r="F177" s="295"/>
      <c r="G177" s="295"/>
      <c r="H177" s="295"/>
      <c r="I177" s="295"/>
      <c r="J177" s="295"/>
      <c r="K177" s="295"/>
      <c r="L177" s="295"/>
      <c r="M177" s="295"/>
      <c r="O177" s="317"/>
      <c r="P177" s="324"/>
      <c r="Q177" s="323"/>
      <c r="R177" s="308"/>
      <c r="S177" s="297"/>
      <c r="T177" s="295"/>
      <c r="U177" s="295"/>
      <c r="V177" s="308"/>
      <c r="W177" s="317"/>
      <c r="X177" s="308"/>
      <c r="Y177" s="308"/>
    </row>
    <row r="178" spans="1:35" s="316" customFormat="1" ht="24" customHeight="1">
      <c r="A178" s="308"/>
      <c r="B178" s="295"/>
      <c r="C178" s="295"/>
      <c r="D178" s="295"/>
      <c r="E178" s="295"/>
      <c r="F178" s="295"/>
      <c r="G178" s="295"/>
      <c r="H178" s="295"/>
      <c r="I178" s="295"/>
      <c r="J178" s="295"/>
      <c r="K178" s="295"/>
      <c r="L178" s="295"/>
      <c r="M178" s="295"/>
      <c r="O178" s="317"/>
      <c r="P178" s="324"/>
      <c r="Q178" s="323"/>
      <c r="R178" s="308"/>
      <c r="S178" s="297"/>
      <c r="T178" s="295"/>
      <c r="U178" s="295"/>
      <c r="V178" s="308"/>
      <c r="W178" s="297"/>
      <c r="X178" s="295"/>
      <c r="Y178" s="295"/>
      <c r="AA178" s="308"/>
      <c r="AB178" s="308"/>
      <c r="AC178" s="308"/>
    </row>
    <row r="179" spans="1:35" s="316" customFormat="1" ht="24" customHeight="1">
      <c r="A179" s="308"/>
      <c r="B179" s="295"/>
      <c r="C179" s="295"/>
      <c r="D179" s="295"/>
      <c r="E179" s="295"/>
      <c r="F179" s="295"/>
      <c r="G179" s="295"/>
      <c r="H179" s="295"/>
      <c r="I179" s="295"/>
      <c r="J179" s="295"/>
      <c r="K179" s="295"/>
      <c r="L179" s="295"/>
      <c r="M179" s="295"/>
      <c r="O179" s="297"/>
      <c r="P179" s="300"/>
      <c r="Q179" s="296"/>
      <c r="R179" s="308"/>
      <c r="S179" s="297"/>
      <c r="T179" s="295"/>
      <c r="U179" s="295"/>
      <c r="V179" s="295"/>
      <c r="W179" s="297"/>
      <c r="X179" s="295"/>
      <c r="Y179" s="295"/>
      <c r="Z179" s="308"/>
      <c r="AA179" s="308"/>
      <c r="AB179" s="308"/>
      <c r="AC179" s="308"/>
    </row>
    <row r="180" spans="1:35" s="308" customFormat="1" ht="18">
      <c r="B180" s="295"/>
      <c r="C180" s="295"/>
      <c r="D180" s="295"/>
      <c r="E180" s="295"/>
      <c r="F180" s="295"/>
      <c r="G180" s="295"/>
      <c r="H180" s="295"/>
      <c r="I180" s="295"/>
      <c r="J180" s="295"/>
      <c r="K180" s="295"/>
      <c r="L180" s="295"/>
      <c r="M180" s="295"/>
      <c r="O180" s="297"/>
      <c r="P180" s="300"/>
      <c r="Q180" s="296"/>
      <c r="S180" s="297"/>
      <c r="T180" s="295"/>
      <c r="U180" s="295"/>
      <c r="V180" s="295"/>
      <c r="W180" s="297"/>
      <c r="X180" s="295"/>
      <c r="Y180" s="295"/>
      <c r="AI180" s="309"/>
    </row>
    <row r="181" spans="1:35" s="308" customFormat="1" ht="18">
      <c r="B181" s="295"/>
      <c r="C181" s="295"/>
      <c r="D181" s="295"/>
      <c r="E181" s="295"/>
      <c r="F181" s="295"/>
      <c r="G181" s="295"/>
      <c r="H181" s="295"/>
      <c r="I181" s="295"/>
      <c r="J181" s="295"/>
      <c r="K181" s="295"/>
      <c r="L181" s="295"/>
      <c r="M181" s="295"/>
      <c r="O181" s="297"/>
      <c r="P181" s="300"/>
      <c r="Q181" s="296"/>
      <c r="S181" s="297"/>
      <c r="T181" s="295"/>
      <c r="U181" s="295"/>
      <c r="V181" s="295"/>
      <c r="W181" s="297"/>
      <c r="X181" s="295"/>
      <c r="Y181" s="295"/>
      <c r="AI181" s="309"/>
    </row>
    <row r="182" spans="1:35" s="308" customFormat="1" ht="18">
      <c r="B182" s="295"/>
      <c r="C182" s="295"/>
      <c r="D182" s="295"/>
      <c r="E182" s="295"/>
      <c r="F182" s="295"/>
      <c r="G182" s="295"/>
      <c r="H182" s="295"/>
      <c r="I182" s="295"/>
      <c r="J182" s="295"/>
      <c r="K182" s="295"/>
      <c r="L182" s="295"/>
      <c r="M182" s="295"/>
      <c r="O182" s="297"/>
      <c r="P182" s="300"/>
      <c r="Q182" s="296"/>
      <c r="R182" s="295"/>
      <c r="S182" s="297"/>
      <c r="T182" s="295"/>
      <c r="U182" s="295"/>
      <c r="V182" s="295"/>
      <c r="W182" s="297"/>
      <c r="X182" s="295"/>
      <c r="Y182" s="295"/>
      <c r="AI182" s="309"/>
    </row>
    <row r="183" spans="1:35" s="308" customFormat="1" ht="18">
      <c r="B183" s="295"/>
      <c r="C183" s="295"/>
      <c r="D183" s="295"/>
      <c r="E183" s="295"/>
      <c r="F183" s="295"/>
      <c r="G183" s="295"/>
      <c r="H183" s="295"/>
      <c r="I183" s="295"/>
      <c r="J183" s="295"/>
      <c r="K183" s="295"/>
      <c r="L183" s="295"/>
      <c r="M183" s="295"/>
      <c r="O183" s="297"/>
      <c r="P183" s="300"/>
      <c r="Q183" s="296"/>
      <c r="R183" s="295"/>
      <c r="S183" s="297"/>
      <c r="T183" s="295"/>
      <c r="U183" s="295"/>
      <c r="V183" s="295"/>
      <c r="W183" s="297"/>
      <c r="X183" s="295"/>
      <c r="Y183" s="295"/>
      <c r="AA183" s="295"/>
      <c r="AB183" s="295"/>
      <c r="AC183" s="295"/>
    </row>
    <row r="184" spans="1:35" s="308" customFormat="1" ht="18">
      <c r="A184" s="295"/>
      <c r="B184" s="295"/>
      <c r="C184" s="295"/>
      <c r="D184" s="295"/>
      <c r="E184" s="295"/>
      <c r="F184" s="295"/>
      <c r="G184" s="295"/>
      <c r="H184" s="295"/>
      <c r="I184" s="295"/>
      <c r="J184" s="295"/>
      <c r="K184" s="295"/>
      <c r="L184" s="295"/>
      <c r="M184" s="295"/>
      <c r="O184" s="297"/>
      <c r="P184" s="300"/>
      <c r="Q184" s="296"/>
      <c r="R184" s="295"/>
      <c r="S184" s="297"/>
      <c r="T184" s="295"/>
      <c r="U184" s="295"/>
      <c r="V184" s="295"/>
      <c r="W184" s="297"/>
      <c r="X184" s="295"/>
      <c r="Y184" s="295"/>
      <c r="Z184" s="295"/>
      <c r="AA184" s="295"/>
      <c r="AB184" s="295"/>
      <c r="AC184" s="295"/>
    </row>
    <row r="185" spans="1:35" s="308" customFormat="1" ht="18">
      <c r="A185" s="295"/>
      <c r="B185" s="295"/>
      <c r="C185" s="295"/>
      <c r="D185" s="295"/>
      <c r="E185" s="295"/>
      <c r="F185" s="295"/>
      <c r="G185" s="295"/>
      <c r="H185" s="295"/>
      <c r="I185" s="295"/>
      <c r="J185" s="295"/>
      <c r="K185" s="295"/>
      <c r="L185" s="295"/>
      <c r="M185" s="295"/>
      <c r="O185" s="297"/>
      <c r="P185" s="300"/>
      <c r="Q185" s="296"/>
      <c r="R185" s="295"/>
      <c r="S185" s="297"/>
      <c r="T185" s="295"/>
      <c r="U185" s="295"/>
      <c r="V185" s="295"/>
      <c r="W185" s="297"/>
      <c r="X185" s="295"/>
      <c r="Y185" s="295"/>
      <c r="Z185" s="295"/>
      <c r="AA185" s="295"/>
      <c r="AB185" s="295"/>
      <c r="AC185" s="295"/>
    </row>
    <row r="186" spans="1:35">
      <c r="R186" s="295"/>
      <c r="S186" s="297"/>
      <c r="AE186" s="295"/>
    </row>
    <row r="187" spans="1:35">
      <c r="R187" s="295"/>
      <c r="S187" s="297"/>
      <c r="AE187" s="295"/>
    </row>
    <row r="188" spans="1:35">
      <c r="R188" s="295"/>
      <c r="S188" s="297"/>
      <c r="AE188" s="295"/>
    </row>
    <row r="189" spans="1:35">
      <c r="R189" s="295"/>
      <c r="S189" s="297"/>
      <c r="AE189" s="295"/>
    </row>
    <row r="190" spans="1:35">
      <c r="R190" s="295"/>
      <c r="S190" s="297"/>
      <c r="AE190" s="295"/>
    </row>
    <row r="191" spans="1:35">
      <c r="R191" s="295"/>
      <c r="S191" s="297"/>
      <c r="AE191" s="295"/>
    </row>
    <row r="192" spans="1:35">
      <c r="R192" s="295"/>
      <c r="S192" s="297"/>
      <c r="AE192" s="295"/>
    </row>
    <row r="193" spans="18:31">
      <c r="R193" s="295"/>
      <c r="S193" s="297"/>
      <c r="AE193" s="295"/>
    </row>
    <row r="194" spans="18:31">
      <c r="R194" s="295"/>
      <c r="S194" s="297"/>
      <c r="AE194" s="295"/>
    </row>
    <row r="195" spans="18:31">
      <c r="R195" s="295"/>
      <c r="S195" s="297"/>
      <c r="AE195" s="295"/>
    </row>
    <row r="196" spans="18:31">
      <c r="R196" s="295"/>
      <c r="S196" s="297"/>
      <c r="AE196" s="295"/>
    </row>
    <row r="197" spans="18:31">
      <c r="R197" s="295"/>
      <c r="S197" s="297"/>
      <c r="AE197" s="295"/>
    </row>
    <row r="198" spans="18:31">
      <c r="R198" s="295"/>
      <c r="S198" s="297"/>
      <c r="AE198" s="295"/>
    </row>
    <row r="199" spans="18:31">
      <c r="R199" s="295"/>
      <c r="S199" s="297"/>
      <c r="AE199" s="295"/>
    </row>
    <row r="200" spans="18:31">
      <c r="R200" s="295"/>
      <c r="S200" s="297"/>
      <c r="AE200" s="295"/>
    </row>
    <row r="201" spans="18:31">
      <c r="R201" s="295"/>
      <c r="S201" s="297"/>
      <c r="AE201" s="295"/>
    </row>
    <row r="202" spans="18:31">
      <c r="R202" s="295"/>
      <c r="S202" s="297"/>
      <c r="AE202" s="295"/>
    </row>
    <row r="203" spans="18:31">
      <c r="R203" s="295"/>
      <c r="S203" s="297"/>
      <c r="AE203" s="295"/>
    </row>
    <row r="204" spans="18:31">
      <c r="R204" s="295"/>
      <c r="S204" s="297"/>
      <c r="AE204" s="295"/>
    </row>
    <row r="205" spans="18:31">
      <c r="R205" s="295"/>
      <c r="S205" s="297"/>
      <c r="AE205" s="295"/>
    </row>
    <row r="206" spans="18:31">
      <c r="R206" s="295"/>
      <c r="S206" s="297"/>
      <c r="AE206" s="295"/>
    </row>
    <row r="207" spans="18:31">
      <c r="R207" s="295"/>
      <c r="S207" s="297"/>
      <c r="AE207" s="295"/>
    </row>
    <row r="208" spans="18:31">
      <c r="R208" s="295"/>
      <c r="S208" s="297"/>
      <c r="AE208" s="295"/>
    </row>
    <row r="209" spans="18:31">
      <c r="R209" s="295"/>
      <c r="S209" s="297"/>
      <c r="AE209" s="295"/>
    </row>
    <row r="210" spans="18:31">
      <c r="R210" s="295"/>
      <c r="S210" s="297"/>
      <c r="AE210" s="295"/>
    </row>
    <row r="211" spans="18:31">
      <c r="R211" s="295"/>
      <c r="S211" s="297"/>
      <c r="AE211" s="295"/>
    </row>
    <row r="212" spans="18:31">
      <c r="R212" s="295"/>
      <c r="S212" s="297"/>
      <c r="AE212" s="295"/>
    </row>
    <row r="213" spans="18:31">
      <c r="R213" s="295"/>
      <c r="S213" s="297"/>
      <c r="AE213" s="295"/>
    </row>
    <row r="214" spans="18:31">
      <c r="R214" s="295"/>
      <c r="S214" s="297"/>
      <c r="AE214" s="295"/>
    </row>
    <row r="215" spans="18:31">
      <c r="R215" s="295"/>
      <c r="S215" s="297"/>
      <c r="AE215" s="295"/>
    </row>
    <row r="216" spans="18:31">
      <c r="R216" s="295"/>
      <c r="S216" s="297"/>
      <c r="AE216" s="295"/>
    </row>
    <row r="217" spans="18:31">
      <c r="R217" s="295"/>
      <c r="S217" s="297"/>
      <c r="AE217" s="295"/>
    </row>
    <row r="218" spans="18:31">
      <c r="R218" s="295"/>
      <c r="S218" s="297"/>
      <c r="AE218" s="295"/>
    </row>
    <row r="219" spans="18:31">
      <c r="R219" s="295"/>
      <c r="S219" s="297"/>
      <c r="AE219" s="295"/>
    </row>
    <row r="220" spans="18:31">
      <c r="R220" s="295"/>
      <c r="S220" s="297"/>
      <c r="AE220" s="295"/>
    </row>
    <row r="221" spans="18:31">
      <c r="R221" s="295"/>
      <c r="S221" s="297"/>
      <c r="AE221" s="295"/>
    </row>
    <row r="222" spans="18:31">
      <c r="R222" s="295"/>
      <c r="S222" s="297"/>
      <c r="AE222" s="295"/>
    </row>
    <row r="223" spans="18:31">
      <c r="R223" s="295"/>
      <c r="S223" s="297"/>
      <c r="AE223" s="295"/>
    </row>
    <row r="224" spans="18:31">
      <c r="R224" s="295"/>
      <c r="S224" s="297"/>
      <c r="AE224" s="295"/>
    </row>
    <row r="225" spans="18:31">
      <c r="R225" s="295"/>
      <c r="S225" s="297"/>
      <c r="AE225" s="295"/>
    </row>
    <row r="226" spans="18:31">
      <c r="R226" s="295"/>
      <c r="S226" s="297"/>
      <c r="AE226" s="295"/>
    </row>
    <row r="227" spans="18:31">
      <c r="R227" s="295"/>
      <c r="S227" s="297"/>
      <c r="AE227" s="295"/>
    </row>
    <row r="228" spans="18:31">
      <c r="R228" s="295"/>
      <c r="S228" s="297"/>
      <c r="AE228" s="295"/>
    </row>
    <row r="229" spans="18:31">
      <c r="R229" s="295"/>
      <c r="S229" s="297"/>
      <c r="AE229" s="295"/>
    </row>
    <row r="230" spans="18:31">
      <c r="R230" s="295"/>
      <c r="S230" s="297"/>
      <c r="AE230" s="295"/>
    </row>
    <row r="231" spans="18:31">
      <c r="R231" s="295"/>
      <c r="S231" s="297"/>
      <c r="AE231" s="295"/>
    </row>
    <row r="232" spans="18:31">
      <c r="R232" s="295"/>
      <c r="S232" s="297"/>
      <c r="AE232" s="295"/>
    </row>
    <row r="233" spans="18:31">
      <c r="R233" s="295"/>
      <c r="S233" s="297"/>
      <c r="AE233" s="295"/>
    </row>
    <row r="234" spans="18:31">
      <c r="R234" s="295"/>
      <c r="S234" s="297"/>
      <c r="AE234" s="295"/>
    </row>
    <row r="235" spans="18:31">
      <c r="R235" s="295"/>
      <c r="S235" s="297"/>
      <c r="AE235" s="295"/>
    </row>
    <row r="236" spans="18:31">
      <c r="R236" s="295"/>
      <c r="S236" s="297"/>
      <c r="AE236" s="295"/>
    </row>
    <row r="237" spans="18:31">
      <c r="R237" s="295"/>
      <c r="S237" s="297"/>
      <c r="AE237" s="295"/>
    </row>
    <row r="238" spans="18:31">
      <c r="R238" s="295"/>
      <c r="S238" s="297"/>
      <c r="AE238" s="295"/>
    </row>
    <row r="239" spans="18:31">
      <c r="R239" s="295"/>
      <c r="S239" s="297"/>
      <c r="AE239" s="295"/>
    </row>
    <row r="240" spans="18:31">
      <c r="R240" s="295"/>
      <c r="S240" s="297"/>
      <c r="AE240" s="295"/>
    </row>
    <row r="241" spans="18:31">
      <c r="R241" s="295"/>
      <c r="S241" s="297"/>
      <c r="AE241" s="295"/>
    </row>
    <row r="242" spans="18:31">
      <c r="R242" s="295"/>
      <c r="S242" s="297"/>
      <c r="AE242" s="295"/>
    </row>
    <row r="243" spans="18:31">
      <c r="R243" s="295"/>
      <c r="S243" s="297"/>
      <c r="AE243" s="295"/>
    </row>
    <row r="244" spans="18:31">
      <c r="R244" s="295"/>
      <c r="S244" s="297"/>
      <c r="AE244" s="295"/>
    </row>
    <row r="245" spans="18:31">
      <c r="R245" s="295"/>
      <c r="S245" s="297"/>
      <c r="AE245" s="295"/>
    </row>
    <row r="246" spans="18:31">
      <c r="R246" s="295"/>
      <c r="S246" s="297"/>
      <c r="AE246" s="295"/>
    </row>
    <row r="247" spans="18:31">
      <c r="R247" s="295"/>
      <c r="S247" s="297"/>
      <c r="AE247" s="295"/>
    </row>
    <row r="248" spans="18:31">
      <c r="R248" s="295"/>
      <c r="S248" s="297"/>
      <c r="W248" s="298"/>
      <c r="AE248" s="295"/>
    </row>
    <row r="249" spans="18:31">
      <c r="R249" s="295"/>
      <c r="S249" s="297"/>
      <c r="W249" s="298"/>
      <c r="AE249" s="295"/>
    </row>
    <row r="250" spans="18:31">
      <c r="R250" s="295"/>
      <c r="S250" s="297"/>
      <c r="W250" s="298"/>
      <c r="AE250" s="295"/>
    </row>
    <row r="251" spans="18:31">
      <c r="R251" s="295"/>
      <c r="S251" s="297"/>
      <c r="W251" s="298"/>
      <c r="AE251" s="295"/>
    </row>
    <row r="252" spans="18:31">
      <c r="R252" s="295"/>
      <c r="S252" s="297"/>
      <c r="W252" s="298"/>
      <c r="AE252" s="295"/>
    </row>
    <row r="253" spans="18:31">
      <c r="R253" s="295"/>
      <c r="S253" s="297"/>
      <c r="W253" s="298"/>
      <c r="AE253" s="295"/>
    </row>
    <row r="254" spans="18:31">
      <c r="R254" s="295"/>
      <c r="S254" s="297"/>
      <c r="W254" s="298"/>
      <c r="AE254" s="295"/>
    </row>
    <row r="255" spans="18:31">
      <c r="R255" s="295"/>
      <c r="S255" s="297"/>
      <c r="W255" s="298"/>
      <c r="AE255" s="295"/>
    </row>
    <row r="256" spans="18:31">
      <c r="R256" s="295"/>
      <c r="S256" s="297"/>
      <c r="W256" s="298"/>
      <c r="AE256" s="295"/>
    </row>
    <row r="257" spans="18:31">
      <c r="R257" s="295"/>
      <c r="S257" s="297"/>
      <c r="W257" s="298"/>
      <c r="AE257" s="295"/>
    </row>
    <row r="258" spans="18:31">
      <c r="R258" s="295"/>
      <c r="S258" s="297"/>
      <c r="W258" s="298"/>
      <c r="AE258" s="295"/>
    </row>
    <row r="259" spans="18:31">
      <c r="R259" s="295"/>
      <c r="S259" s="297"/>
      <c r="W259" s="298"/>
      <c r="AE259" s="295"/>
    </row>
    <row r="260" spans="18:31">
      <c r="R260" s="295"/>
      <c r="S260" s="297"/>
      <c r="W260" s="298"/>
      <c r="AE260" s="295"/>
    </row>
    <row r="261" spans="18:31">
      <c r="R261" s="295"/>
      <c r="S261" s="297"/>
      <c r="W261" s="298"/>
      <c r="AE261" s="295"/>
    </row>
    <row r="262" spans="18:31">
      <c r="R262" s="295"/>
      <c r="S262" s="297"/>
      <c r="W262" s="298"/>
      <c r="AE262" s="295"/>
    </row>
    <row r="263" spans="18:31">
      <c r="R263" s="295"/>
      <c r="S263" s="297"/>
      <c r="W263" s="298"/>
      <c r="AE263" s="295"/>
    </row>
    <row r="264" spans="18:31">
      <c r="R264" s="295"/>
      <c r="S264" s="297"/>
      <c r="W264" s="298"/>
      <c r="AE264" s="295"/>
    </row>
    <row r="265" spans="18:31">
      <c r="R265" s="295"/>
      <c r="S265" s="297"/>
      <c r="W265" s="298"/>
      <c r="AE265" s="295"/>
    </row>
    <row r="266" spans="18:31">
      <c r="R266" s="295"/>
      <c r="S266" s="297"/>
      <c r="W266" s="298"/>
      <c r="AE266" s="295"/>
    </row>
    <row r="267" spans="18:31">
      <c r="R267" s="295"/>
      <c r="S267" s="297"/>
      <c r="W267" s="298"/>
      <c r="AE267" s="295"/>
    </row>
    <row r="268" spans="18:31">
      <c r="R268" s="295"/>
      <c r="S268" s="297"/>
      <c r="W268" s="298"/>
      <c r="AE268" s="295"/>
    </row>
    <row r="269" spans="18:31">
      <c r="R269" s="295"/>
      <c r="S269" s="297"/>
      <c r="W269" s="298"/>
      <c r="AE269" s="295"/>
    </row>
    <row r="270" spans="18:31">
      <c r="R270" s="295"/>
      <c r="S270" s="297"/>
      <c r="W270" s="298"/>
      <c r="AE270" s="295"/>
    </row>
    <row r="271" spans="18:31">
      <c r="R271" s="295"/>
      <c r="S271" s="297"/>
      <c r="W271" s="298"/>
      <c r="AE271" s="295"/>
    </row>
    <row r="272" spans="18:31">
      <c r="R272" s="295"/>
      <c r="S272" s="297"/>
      <c r="W272" s="298"/>
      <c r="AE272" s="295"/>
    </row>
    <row r="273" spans="18:31">
      <c r="R273" s="295"/>
      <c r="S273" s="297"/>
      <c r="W273" s="298"/>
      <c r="AE273" s="295"/>
    </row>
    <row r="274" spans="18:31">
      <c r="R274" s="295"/>
      <c r="S274" s="297"/>
      <c r="W274" s="298"/>
      <c r="AE274" s="295"/>
    </row>
    <row r="275" spans="18:31">
      <c r="R275" s="295"/>
      <c r="S275" s="297"/>
      <c r="W275" s="298"/>
      <c r="AE275" s="295"/>
    </row>
    <row r="276" spans="18:31">
      <c r="R276" s="295"/>
      <c r="S276" s="297"/>
      <c r="W276" s="298"/>
      <c r="AE276" s="295"/>
    </row>
    <row r="277" spans="18:31">
      <c r="R277" s="295"/>
      <c r="S277" s="297"/>
      <c r="W277" s="298"/>
      <c r="AE277" s="295"/>
    </row>
    <row r="278" spans="18:31">
      <c r="R278" s="295"/>
      <c r="S278" s="297"/>
      <c r="W278" s="298"/>
      <c r="AE278" s="295"/>
    </row>
    <row r="279" spans="18:31">
      <c r="R279" s="295"/>
      <c r="S279" s="297"/>
      <c r="W279" s="298"/>
      <c r="AE279" s="295"/>
    </row>
    <row r="280" spans="18:31">
      <c r="R280" s="295"/>
      <c r="S280" s="297"/>
      <c r="W280" s="298"/>
      <c r="AE280" s="295"/>
    </row>
    <row r="281" spans="18:31">
      <c r="R281" s="295"/>
      <c r="S281" s="297"/>
      <c r="W281" s="298"/>
      <c r="AE281" s="295"/>
    </row>
    <row r="282" spans="18:31">
      <c r="R282" s="295"/>
      <c r="S282" s="297"/>
      <c r="W282" s="298"/>
      <c r="AE282" s="295"/>
    </row>
    <row r="283" spans="18:31">
      <c r="R283" s="295"/>
      <c r="S283" s="297"/>
      <c r="W283" s="298"/>
      <c r="AE283" s="295"/>
    </row>
    <row r="284" spans="18:31">
      <c r="R284" s="295"/>
      <c r="S284" s="297"/>
      <c r="W284" s="298"/>
      <c r="AE284" s="295"/>
    </row>
    <row r="285" spans="18:31">
      <c r="R285" s="295"/>
      <c r="S285" s="297"/>
      <c r="W285" s="298"/>
      <c r="AE285" s="295"/>
    </row>
    <row r="286" spans="18:31">
      <c r="R286" s="295"/>
      <c r="S286" s="297"/>
      <c r="W286" s="298"/>
      <c r="AE286" s="295"/>
    </row>
    <row r="287" spans="18:31">
      <c r="R287" s="295"/>
      <c r="S287" s="297"/>
      <c r="W287" s="298"/>
      <c r="AE287" s="295"/>
    </row>
    <row r="288" spans="18:31">
      <c r="R288" s="295"/>
      <c r="S288" s="297"/>
      <c r="W288" s="298"/>
      <c r="AE288" s="295"/>
    </row>
    <row r="289" spans="18:31">
      <c r="R289" s="295"/>
      <c r="S289" s="297"/>
      <c r="W289" s="298"/>
      <c r="AE289" s="295"/>
    </row>
    <row r="290" spans="18:31">
      <c r="R290" s="295"/>
      <c r="S290" s="297"/>
      <c r="W290" s="298"/>
      <c r="AE290" s="295"/>
    </row>
    <row r="291" spans="18:31">
      <c r="R291" s="295"/>
      <c r="S291" s="297"/>
      <c r="W291" s="298"/>
      <c r="AE291" s="295"/>
    </row>
    <row r="292" spans="18:31">
      <c r="R292" s="295"/>
      <c r="S292" s="297"/>
      <c r="W292" s="298"/>
      <c r="AE292" s="295"/>
    </row>
    <row r="293" spans="18:31">
      <c r="R293" s="295"/>
      <c r="S293" s="297"/>
      <c r="W293" s="298"/>
      <c r="AE293" s="295"/>
    </row>
    <row r="294" spans="18:31">
      <c r="R294" s="295"/>
      <c r="S294" s="297"/>
      <c r="W294" s="298"/>
      <c r="AE294" s="295"/>
    </row>
    <row r="295" spans="18:31">
      <c r="R295" s="295"/>
      <c r="S295" s="297"/>
      <c r="W295" s="298"/>
      <c r="AE295" s="295"/>
    </row>
    <row r="296" spans="18:31">
      <c r="R296" s="295"/>
      <c r="S296" s="297"/>
      <c r="W296" s="298"/>
      <c r="AE296" s="295"/>
    </row>
    <row r="297" spans="18:31">
      <c r="R297" s="295"/>
      <c r="S297" s="297"/>
      <c r="W297" s="298"/>
      <c r="AE297" s="295"/>
    </row>
    <row r="298" spans="18:31">
      <c r="R298" s="295"/>
      <c r="S298" s="297"/>
      <c r="W298" s="298"/>
      <c r="AE298" s="295"/>
    </row>
    <row r="299" spans="18:31">
      <c r="R299" s="295"/>
      <c r="S299" s="297"/>
      <c r="W299" s="298"/>
      <c r="AE299" s="295"/>
    </row>
    <row r="300" spans="18:31">
      <c r="R300" s="295"/>
      <c r="S300" s="297"/>
      <c r="W300" s="298"/>
      <c r="AE300" s="295"/>
    </row>
    <row r="301" spans="18:31">
      <c r="R301" s="295"/>
      <c r="S301" s="297"/>
      <c r="W301" s="298"/>
      <c r="AE301" s="295"/>
    </row>
    <row r="302" spans="18:31">
      <c r="R302" s="295"/>
      <c r="S302" s="297"/>
      <c r="W302" s="298"/>
      <c r="AE302" s="295"/>
    </row>
    <row r="303" spans="18:31">
      <c r="R303" s="295"/>
      <c r="S303" s="297"/>
      <c r="W303" s="298"/>
      <c r="AE303" s="295"/>
    </row>
    <row r="304" spans="18:31">
      <c r="R304" s="295"/>
      <c r="S304" s="297"/>
      <c r="W304" s="298"/>
      <c r="AE304" s="295"/>
    </row>
    <row r="305" spans="18:31">
      <c r="R305" s="295"/>
      <c r="S305" s="297"/>
      <c r="W305" s="298"/>
      <c r="AE305" s="295"/>
    </row>
    <row r="306" spans="18:31">
      <c r="R306" s="295"/>
      <c r="S306" s="297"/>
      <c r="W306" s="298"/>
      <c r="AE306" s="295"/>
    </row>
    <row r="307" spans="18:31">
      <c r="R307" s="295"/>
      <c r="S307" s="297"/>
      <c r="W307" s="298"/>
      <c r="AE307" s="295"/>
    </row>
    <row r="308" spans="18:31">
      <c r="R308" s="295"/>
      <c r="S308" s="297"/>
      <c r="W308" s="298"/>
      <c r="AE308" s="295"/>
    </row>
    <row r="309" spans="18:31">
      <c r="R309" s="295"/>
      <c r="S309" s="297"/>
      <c r="W309" s="298"/>
      <c r="AE309" s="295"/>
    </row>
    <row r="310" spans="18:31">
      <c r="R310" s="295"/>
      <c r="S310" s="297"/>
      <c r="W310" s="298"/>
      <c r="AE310" s="295"/>
    </row>
    <row r="311" spans="18:31">
      <c r="R311" s="295"/>
      <c r="S311" s="297"/>
      <c r="W311" s="298"/>
      <c r="AE311" s="295"/>
    </row>
    <row r="312" spans="18:31">
      <c r="R312" s="295"/>
      <c r="S312" s="297"/>
      <c r="W312" s="298"/>
      <c r="AE312" s="295"/>
    </row>
    <row r="313" spans="18:31">
      <c r="R313" s="295"/>
      <c r="S313" s="297"/>
      <c r="W313" s="298"/>
      <c r="AE313" s="295"/>
    </row>
    <row r="314" spans="18:31">
      <c r="R314" s="295"/>
      <c r="S314" s="297"/>
      <c r="T314" s="301"/>
      <c r="U314" s="303"/>
      <c r="W314" s="298"/>
      <c r="AE314" s="295"/>
    </row>
    <row r="315" spans="18:31">
      <c r="R315" s="295"/>
      <c r="S315" s="297"/>
      <c r="T315" s="301"/>
      <c r="U315" s="303"/>
      <c r="W315" s="298"/>
      <c r="AE315" s="295"/>
    </row>
    <row r="316" spans="18:31">
      <c r="R316" s="295"/>
      <c r="S316" s="297"/>
      <c r="T316" s="301"/>
      <c r="U316" s="301"/>
      <c r="W316" s="298"/>
      <c r="AE316" s="295"/>
    </row>
    <row r="317" spans="18:31">
      <c r="R317" s="295"/>
      <c r="S317" s="297"/>
      <c r="T317" s="301"/>
      <c r="U317" s="301"/>
      <c r="W317" s="298"/>
      <c r="AE317" s="295"/>
    </row>
    <row r="318" spans="18:31">
      <c r="R318" s="295"/>
      <c r="S318" s="297"/>
      <c r="T318" s="301"/>
      <c r="U318" s="301"/>
      <c r="W318" s="298"/>
      <c r="AE318" s="295"/>
    </row>
    <row r="319" spans="18:31">
      <c r="R319" s="295"/>
      <c r="S319" s="297"/>
      <c r="T319" s="301"/>
      <c r="U319" s="301"/>
      <c r="W319" s="298"/>
      <c r="AE319" s="295"/>
    </row>
    <row r="320" spans="18:31">
      <c r="R320" s="295"/>
      <c r="S320" s="297"/>
      <c r="T320" s="301"/>
      <c r="U320" s="301"/>
      <c r="W320" s="298"/>
      <c r="AE320" s="295"/>
    </row>
    <row r="321" spans="18:31">
      <c r="R321" s="295"/>
      <c r="S321" s="297"/>
      <c r="T321" s="301"/>
      <c r="U321" s="301"/>
      <c r="W321" s="298"/>
      <c r="AE321" s="295"/>
    </row>
    <row r="322" spans="18:31">
      <c r="R322" s="295"/>
      <c r="S322" s="297"/>
      <c r="T322" s="301"/>
      <c r="U322" s="301"/>
      <c r="W322" s="298"/>
      <c r="AE322" s="295"/>
    </row>
    <row r="323" spans="18:31">
      <c r="R323" s="295"/>
      <c r="S323" s="297"/>
      <c r="T323" s="301"/>
      <c r="U323" s="301"/>
      <c r="W323" s="298"/>
      <c r="AE323" s="295"/>
    </row>
    <row r="324" spans="18:31">
      <c r="R324" s="295"/>
      <c r="S324" s="297"/>
      <c r="T324" s="301"/>
      <c r="U324" s="301"/>
      <c r="W324" s="298"/>
      <c r="AE324" s="295"/>
    </row>
    <row r="325" spans="18:31">
      <c r="R325" s="295"/>
      <c r="S325" s="297"/>
      <c r="T325" s="301"/>
      <c r="U325" s="301"/>
      <c r="W325" s="298"/>
      <c r="AE325" s="295"/>
    </row>
    <row r="326" spans="18:31">
      <c r="R326" s="295"/>
      <c r="S326" s="297"/>
      <c r="T326" s="301"/>
      <c r="U326" s="301"/>
      <c r="W326" s="298"/>
      <c r="AE326" s="295"/>
    </row>
    <row r="327" spans="18:31">
      <c r="R327" s="295"/>
      <c r="S327" s="297"/>
      <c r="T327" s="301"/>
      <c r="U327" s="307"/>
      <c r="W327" s="298"/>
      <c r="Y327" s="301"/>
      <c r="AE327" s="295"/>
    </row>
    <row r="328" spans="18:31">
      <c r="R328" s="295"/>
      <c r="S328" s="297"/>
      <c r="T328" s="301"/>
      <c r="U328" s="307"/>
      <c r="W328" s="298"/>
      <c r="X328" s="301"/>
      <c r="Y328" s="301"/>
      <c r="AE328" s="295"/>
    </row>
    <row r="329" spans="18:31">
      <c r="R329" s="295"/>
      <c r="S329" s="297"/>
      <c r="T329" s="301"/>
      <c r="U329" s="301"/>
      <c r="W329" s="298"/>
      <c r="X329" s="301"/>
      <c r="Y329" s="301"/>
      <c r="AE329" s="295"/>
    </row>
    <row r="330" spans="18:31">
      <c r="R330" s="295"/>
      <c r="S330" s="297"/>
      <c r="T330" s="301"/>
      <c r="U330" s="303"/>
      <c r="W330" s="298"/>
      <c r="X330" s="301"/>
      <c r="Y330" s="301"/>
      <c r="AE330" s="295"/>
    </row>
    <row r="331" spans="18:31">
      <c r="R331" s="295"/>
      <c r="S331" s="297"/>
      <c r="T331" s="301"/>
      <c r="U331" s="301"/>
      <c r="W331" s="298"/>
      <c r="X331" s="301"/>
      <c r="Y331" s="301"/>
      <c r="AE331" s="295"/>
    </row>
    <row r="332" spans="18:31">
      <c r="R332" s="295"/>
      <c r="S332" s="297"/>
      <c r="T332" s="301"/>
      <c r="U332" s="301"/>
      <c r="W332" s="298"/>
      <c r="X332" s="301"/>
      <c r="Y332" s="301"/>
      <c r="AE332" s="295"/>
    </row>
    <row r="333" spans="18:31">
      <c r="R333" s="295"/>
      <c r="S333" s="297"/>
      <c r="T333" s="301"/>
      <c r="U333" s="301"/>
      <c r="W333" s="298"/>
      <c r="X333" s="301"/>
      <c r="Y333" s="301"/>
      <c r="AE333" s="295"/>
    </row>
    <row r="334" spans="18:31">
      <c r="R334" s="295"/>
      <c r="S334" s="306"/>
      <c r="T334" s="301"/>
      <c r="U334" s="301"/>
      <c r="W334" s="298"/>
      <c r="X334" s="301"/>
      <c r="Y334" s="301"/>
      <c r="AE334" s="295"/>
    </row>
    <row r="335" spans="18:31">
      <c r="R335" s="295"/>
      <c r="S335" s="306"/>
      <c r="T335" s="301"/>
      <c r="U335" s="301"/>
      <c r="W335" s="298"/>
      <c r="X335" s="301"/>
      <c r="Y335" s="301"/>
      <c r="AE335" s="295"/>
    </row>
    <row r="336" spans="18:31">
      <c r="R336" s="295"/>
      <c r="W336" s="298"/>
      <c r="X336" s="301"/>
      <c r="Y336" s="301"/>
      <c r="AE336" s="295"/>
    </row>
    <row r="337" spans="18:31">
      <c r="R337" s="295"/>
      <c r="W337" s="298"/>
      <c r="X337" s="301"/>
      <c r="Y337" s="301"/>
      <c r="AE337" s="295"/>
    </row>
    <row r="338" spans="18:31">
      <c r="R338" s="295"/>
      <c r="W338" s="298"/>
      <c r="X338" s="301"/>
      <c r="Y338" s="301"/>
      <c r="AE338" s="295"/>
    </row>
    <row r="339" spans="18:31">
      <c r="R339" s="295"/>
      <c r="W339" s="298"/>
      <c r="X339" s="301"/>
      <c r="Y339" s="301"/>
      <c r="AE339" s="295"/>
    </row>
    <row r="340" spans="18:31">
      <c r="R340" s="295"/>
      <c r="W340" s="298"/>
      <c r="X340" s="301"/>
      <c r="Y340" s="301"/>
      <c r="AE340" s="295"/>
    </row>
    <row r="341" spans="18:31">
      <c r="R341" s="295"/>
      <c r="W341" s="298"/>
      <c r="X341" s="301"/>
      <c r="Y341" s="301"/>
      <c r="AE341" s="295"/>
    </row>
    <row r="342" spans="18:31">
      <c r="R342" s="295"/>
      <c r="W342" s="298"/>
      <c r="X342" s="301"/>
      <c r="Y342" s="301"/>
      <c r="AE342" s="295"/>
    </row>
    <row r="343" spans="18:31">
      <c r="R343" s="295"/>
      <c r="W343" s="298"/>
      <c r="X343" s="301"/>
      <c r="Y343" s="301"/>
      <c r="AE343" s="295"/>
    </row>
    <row r="344" spans="18:31">
      <c r="R344" s="295"/>
      <c r="W344" s="298"/>
      <c r="X344" s="301"/>
      <c r="Y344" s="301"/>
      <c r="AE344" s="295"/>
    </row>
    <row r="345" spans="18:31">
      <c r="R345" s="295"/>
      <c r="W345" s="298"/>
      <c r="X345" s="301"/>
      <c r="Y345" s="301"/>
      <c r="AE345" s="295"/>
    </row>
    <row r="346" spans="18:31">
      <c r="R346" s="295"/>
      <c r="V346" s="301"/>
      <c r="W346" s="298"/>
      <c r="X346" s="301"/>
      <c r="Y346" s="301"/>
      <c r="AE346" s="295"/>
    </row>
    <row r="347" spans="18:31">
      <c r="R347" s="295"/>
      <c r="V347" s="301"/>
      <c r="W347" s="298"/>
      <c r="X347" s="301"/>
      <c r="Y347" s="301"/>
      <c r="AE347" s="295"/>
    </row>
    <row r="348" spans="18:31">
      <c r="R348" s="295"/>
      <c r="V348" s="301"/>
      <c r="W348" s="298"/>
      <c r="X348" s="301"/>
      <c r="Y348" s="301"/>
      <c r="AE348" s="295"/>
    </row>
    <row r="349" spans="18:31">
      <c r="R349" s="295"/>
      <c r="V349" s="301"/>
      <c r="W349" s="298"/>
      <c r="X349" s="301"/>
      <c r="Y349" s="301"/>
      <c r="AE349" s="295"/>
    </row>
    <row r="350" spans="18:31">
      <c r="V350" s="301"/>
      <c r="Y350" s="301"/>
      <c r="AE350" s="295"/>
    </row>
    <row r="351" spans="18:31">
      <c r="V351" s="301"/>
      <c r="Y351" s="301"/>
      <c r="AE351" s="295"/>
    </row>
    <row r="352" spans="18:31">
      <c r="V352" s="301"/>
      <c r="Y352" s="301"/>
      <c r="AE352" s="295"/>
    </row>
    <row r="353" spans="4:31">
      <c r="V353" s="301"/>
      <c r="Y353" s="301"/>
      <c r="AE353" s="295"/>
    </row>
    <row r="354" spans="4:31">
      <c r="V354" s="301"/>
      <c r="Y354" s="301"/>
      <c r="AE354" s="295"/>
    </row>
    <row r="355" spans="4:31">
      <c r="V355" s="301"/>
      <c r="Y355" s="301"/>
      <c r="Z355" s="301"/>
      <c r="AE355" s="295"/>
    </row>
    <row r="356" spans="4:31">
      <c r="V356" s="301"/>
      <c r="Y356" s="301"/>
      <c r="Z356" s="301"/>
      <c r="AE356" s="295"/>
    </row>
    <row r="357" spans="4:31">
      <c r="V357" s="301"/>
      <c r="Y357" s="301"/>
      <c r="Z357" s="301"/>
      <c r="AE357" s="295"/>
    </row>
    <row r="358" spans="4:31">
      <c r="V358" s="301"/>
      <c r="Y358" s="301"/>
      <c r="Z358" s="301"/>
      <c r="AE358" s="295"/>
    </row>
    <row r="359" spans="4:31">
      <c r="V359" s="301"/>
      <c r="Y359" s="301"/>
      <c r="Z359" s="301"/>
      <c r="AE359" s="295"/>
    </row>
    <row r="360" spans="4:31">
      <c r="V360" s="301"/>
      <c r="Y360" s="301"/>
      <c r="Z360" s="301"/>
      <c r="AE360" s="295"/>
    </row>
    <row r="361" spans="4:31">
      <c r="V361" s="301"/>
      <c r="Y361" s="301"/>
      <c r="Z361" s="301"/>
      <c r="AE361" s="295"/>
    </row>
    <row r="362" spans="4:31">
      <c r="V362" s="301"/>
      <c r="Y362" s="301"/>
      <c r="Z362" s="301"/>
      <c r="AE362" s="295"/>
    </row>
    <row r="363" spans="4:31">
      <c r="V363" s="301"/>
      <c r="Y363" s="301"/>
      <c r="Z363" s="301"/>
      <c r="AE363" s="295"/>
    </row>
    <row r="364" spans="4:31">
      <c r="D364" s="296"/>
      <c r="V364" s="301"/>
      <c r="Y364" s="301"/>
      <c r="Z364" s="301"/>
      <c r="AE364" s="295"/>
    </row>
    <row r="365" spans="4:31">
      <c r="K365" s="296"/>
      <c r="V365" s="301"/>
      <c r="Y365" s="301"/>
      <c r="Z365" s="301"/>
      <c r="AE365" s="295"/>
    </row>
    <row r="366" spans="4:31">
      <c r="V366" s="301"/>
      <c r="Y366" s="301"/>
      <c r="Z366" s="301"/>
      <c r="AE366" s="295"/>
    </row>
    <row r="367" spans="4:31">
      <c r="V367" s="301"/>
      <c r="Y367" s="301"/>
      <c r="Z367" s="301"/>
      <c r="AE367" s="295"/>
    </row>
    <row r="368" spans="4:31">
      <c r="Y368" s="301"/>
      <c r="Z368" s="301"/>
      <c r="AE368" s="295"/>
    </row>
    <row r="369" spans="25:35">
      <c r="Y369" s="301"/>
      <c r="Z369" s="301"/>
      <c r="AE369" s="295"/>
    </row>
    <row r="370" spans="25:35">
      <c r="Y370" s="301"/>
      <c r="Z370" s="301"/>
      <c r="AE370" s="295"/>
    </row>
    <row r="371" spans="25:35">
      <c r="Y371" s="301"/>
      <c r="Z371" s="301"/>
      <c r="AE371" s="295"/>
    </row>
    <row r="372" spans="25:35">
      <c r="Y372" s="301"/>
      <c r="Z372" s="301"/>
      <c r="AE372" s="295"/>
    </row>
    <row r="373" spans="25:35">
      <c r="Y373" s="301"/>
      <c r="Z373" s="303"/>
      <c r="AE373" s="295"/>
    </row>
    <row r="374" spans="25:35">
      <c r="Y374" s="301"/>
      <c r="Z374" s="303"/>
      <c r="AE374" s="295"/>
    </row>
    <row r="375" spans="25:35">
      <c r="Y375" s="301"/>
      <c r="Z375" s="303"/>
      <c r="AE375" s="295"/>
    </row>
    <row r="376" spans="25:35">
      <c r="Y376" s="301"/>
      <c r="Z376" s="301"/>
      <c r="AA376" s="301"/>
      <c r="AC376" s="301"/>
      <c r="AE376" s="295"/>
    </row>
    <row r="377" spans="25:35">
      <c r="Y377" s="301"/>
      <c r="Z377" s="305"/>
      <c r="AA377" s="301"/>
      <c r="AB377" s="301"/>
      <c r="AC377" s="301"/>
      <c r="AE377" s="295"/>
    </row>
    <row r="378" spans="25:35">
      <c r="Y378" s="301"/>
      <c r="Z378" s="305"/>
      <c r="AA378" s="301"/>
      <c r="AB378" s="301"/>
      <c r="AC378" s="301"/>
      <c r="AE378" s="295"/>
    </row>
    <row r="379" spans="25:35">
      <c r="Y379" s="301"/>
      <c r="Z379" s="305"/>
      <c r="AA379" s="301"/>
      <c r="AB379" s="301"/>
      <c r="AC379" s="301"/>
      <c r="AD379" s="301"/>
      <c r="AE379" s="302"/>
      <c r="AF379" s="301"/>
      <c r="AG379" s="301"/>
      <c r="AH379" s="301"/>
      <c r="AI379" s="301"/>
    </row>
    <row r="380" spans="25:35">
      <c r="Z380" s="301"/>
      <c r="AA380" s="301"/>
      <c r="AB380" s="301"/>
      <c r="AC380" s="301"/>
      <c r="AD380" s="301"/>
      <c r="AE380" s="302"/>
      <c r="AF380" s="301"/>
      <c r="AG380" s="301"/>
      <c r="AH380" s="301"/>
      <c r="AI380" s="303"/>
    </row>
    <row r="381" spans="25:35">
      <c r="Z381" s="301"/>
      <c r="AA381" s="301"/>
      <c r="AB381" s="301"/>
      <c r="AC381" s="301"/>
      <c r="AD381" s="301"/>
      <c r="AE381" s="302"/>
      <c r="AF381" s="301"/>
      <c r="AG381" s="301"/>
      <c r="AH381" s="301"/>
      <c r="AI381" s="301"/>
    </row>
    <row r="382" spans="25:35">
      <c r="Z382" s="301"/>
      <c r="AA382" s="301"/>
      <c r="AB382" s="301"/>
      <c r="AC382" s="301"/>
      <c r="AD382" s="301"/>
      <c r="AE382" s="302"/>
      <c r="AF382" s="301"/>
      <c r="AG382" s="301"/>
      <c r="AH382" s="301"/>
      <c r="AI382" s="303"/>
    </row>
    <row r="383" spans="25:35">
      <c r="Z383" s="301"/>
      <c r="AA383" s="301"/>
      <c r="AB383" s="301"/>
      <c r="AC383" s="301"/>
      <c r="AD383" s="301"/>
      <c r="AE383" s="302"/>
      <c r="AF383" s="301"/>
      <c r="AG383" s="301"/>
      <c r="AH383" s="301"/>
      <c r="AI383" s="301"/>
    </row>
    <row r="384" spans="25:35">
      <c r="Z384" s="301"/>
      <c r="AA384" s="301"/>
      <c r="AB384" s="301"/>
      <c r="AC384" s="301"/>
      <c r="AD384" s="301"/>
      <c r="AE384" s="302"/>
      <c r="AF384" s="301"/>
      <c r="AG384" s="301"/>
      <c r="AH384" s="301"/>
      <c r="AI384" s="301"/>
    </row>
    <row r="385" spans="26:35">
      <c r="Z385" s="301"/>
      <c r="AA385" s="301"/>
      <c r="AB385" s="301"/>
      <c r="AC385" s="301"/>
      <c r="AD385" s="301"/>
      <c r="AE385" s="302"/>
      <c r="AF385" s="301"/>
      <c r="AG385" s="301"/>
      <c r="AH385" s="301"/>
      <c r="AI385" s="301"/>
    </row>
    <row r="386" spans="26:35">
      <c r="Z386" s="301"/>
      <c r="AA386" s="301"/>
      <c r="AB386" s="301"/>
      <c r="AC386" s="301"/>
      <c r="AD386" s="301"/>
      <c r="AE386" s="302"/>
      <c r="AF386" s="301"/>
      <c r="AG386" s="301"/>
      <c r="AH386" s="301"/>
      <c r="AI386" s="301"/>
    </row>
    <row r="387" spans="26:35">
      <c r="Z387" s="301"/>
      <c r="AA387" s="301"/>
      <c r="AB387" s="301"/>
      <c r="AC387" s="301"/>
      <c r="AD387" s="303"/>
      <c r="AE387" s="302"/>
      <c r="AF387" s="301"/>
      <c r="AG387" s="301"/>
      <c r="AH387" s="301"/>
      <c r="AI387" s="301"/>
    </row>
    <row r="388" spans="26:35">
      <c r="Z388" s="301"/>
      <c r="AA388" s="301"/>
      <c r="AB388" s="301"/>
      <c r="AC388" s="303"/>
      <c r="AD388" s="301"/>
      <c r="AE388" s="302"/>
      <c r="AF388" s="301"/>
      <c r="AG388" s="301"/>
      <c r="AH388" s="301"/>
      <c r="AI388" s="301"/>
    </row>
    <row r="389" spans="26:35">
      <c r="Z389" s="301"/>
      <c r="AA389" s="301"/>
      <c r="AB389" s="301"/>
      <c r="AC389" s="301"/>
      <c r="AD389" s="301"/>
      <c r="AE389" s="302"/>
      <c r="AF389" s="301"/>
      <c r="AG389" s="301"/>
      <c r="AH389" s="301"/>
      <c r="AI389" s="301"/>
    </row>
    <row r="390" spans="26:35">
      <c r="Z390" s="301"/>
      <c r="AA390" s="301"/>
      <c r="AB390" s="301"/>
      <c r="AC390" s="303"/>
      <c r="AD390" s="301"/>
      <c r="AE390" s="302"/>
      <c r="AF390" s="301"/>
      <c r="AG390" s="301"/>
      <c r="AH390" s="301"/>
      <c r="AI390" s="301"/>
    </row>
    <row r="391" spans="26:35">
      <c r="Z391" s="301"/>
      <c r="AA391" s="301"/>
      <c r="AB391" s="301"/>
      <c r="AC391" s="303"/>
      <c r="AD391" s="301"/>
      <c r="AE391" s="302"/>
      <c r="AF391" s="301"/>
      <c r="AG391" s="301"/>
      <c r="AH391" s="301"/>
      <c r="AI391" s="301"/>
    </row>
    <row r="392" spans="26:35">
      <c r="Z392" s="301"/>
      <c r="AA392" s="301"/>
      <c r="AB392" s="301"/>
      <c r="AC392" s="301"/>
      <c r="AD392" s="301"/>
      <c r="AE392" s="302"/>
      <c r="AF392" s="301"/>
      <c r="AG392" s="301"/>
      <c r="AH392" s="301"/>
      <c r="AI392" s="301"/>
    </row>
    <row r="393" spans="26:35">
      <c r="Z393" s="301"/>
      <c r="AA393" s="301"/>
      <c r="AB393" s="301"/>
      <c r="AC393" s="301"/>
      <c r="AD393" s="301"/>
      <c r="AE393" s="302"/>
      <c r="AF393" s="301"/>
      <c r="AG393" s="301"/>
      <c r="AH393" s="301"/>
      <c r="AI393" s="301"/>
    </row>
    <row r="394" spans="26:35">
      <c r="Z394" s="301"/>
      <c r="AA394" s="301"/>
      <c r="AB394" s="301"/>
      <c r="AC394" s="301"/>
      <c r="AD394" s="301"/>
      <c r="AE394" s="302"/>
      <c r="AF394" s="301"/>
      <c r="AG394" s="301"/>
      <c r="AH394" s="301"/>
      <c r="AI394" s="301"/>
    </row>
    <row r="395" spans="26:35">
      <c r="Z395" s="301"/>
      <c r="AA395" s="301"/>
      <c r="AB395" s="301"/>
      <c r="AC395" s="301"/>
      <c r="AD395" s="301"/>
      <c r="AE395" s="302"/>
      <c r="AF395" s="301"/>
      <c r="AG395" s="301"/>
      <c r="AH395" s="301"/>
      <c r="AI395" s="301"/>
    </row>
    <row r="396" spans="26:35">
      <c r="Z396" s="301"/>
      <c r="AA396" s="301"/>
      <c r="AB396" s="301"/>
      <c r="AC396" s="301"/>
      <c r="AD396" s="301"/>
      <c r="AE396" s="302"/>
      <c r="AF396" s="301"/>
      <c r="AG396" s="301"/>
      <c r="AH396" s="301"/>
      <c r="AI396" s="301"/>
    </row>
    <row r="397" spans="26:35">
      <c r="Z397" s="301"/>
      <c r="AA397" s="301"/>
      <c r="AB397" s="301"/>
      <c r="AC397" s="301"/>
      <c r="AD397" s="301"/>
      <c r="AE397" s="302"/>
      <c r="AF397" s="301"/>
      <c r="AG397" s="301"/>
      <c r="AH397" s="301"/>
      <c r="AI397" s="301"/>
    </row>
    <row r="398" spans="26:35">
      <c r="Z398" s="301"/>
      <c r="AA398" s="301"/>
      <c r="AB398" s="301"/>
      <c r="AC398" s="301"/>
      <c r="AD398" s="301"/>
      <c r="AE398" s="302"/>
      <c r="AF398" s="301"/>
      <c r="AG398" s="305"/>
      <c r="AH398" s="301"/>
      <c r="AI398" s="301"/>
    </row>
    <row r="399" spans="26:35">
      <c r="Z399" s="301"/>
      <c r="AA399" s="301"/>
      <c r="AB399" s="301"/>
      <c r="AC399" s="301"/>
      <c r="AD399" s="301"/>
      <c r="AE399" s="302"/>
      <c r="AG399" s="305"/>
      <c r="AH399" s="301"/>
      <c r="AI399" s="301"/>
    </row>
    <row r="400" spans="26:35">
      <c r="Z400" s="301"/>
      <c r="AA400" s="301"/>
      <c r="AB400" s="301"/>
      <c r="AC400" s="301"/>
      <c r="AD400" s="301"/>
      <c r="AE400" s="302"/>
      <c r="AG400" s="305"/>
      <c r="AH400" s="301"/>
      <c r="AI400" s="301"/>
    </row>
    <row r="401" spans="26:35">
      <c r="Z401" s="301"/>
      <c r="AA401" s="301"/>
      <c r="AB401" s="301"/>
      <c r="AC401" s="301"/>
      <c r="AD401" s="301"/>
      <c r="AE401" s="302"/>
      <c r="AG401" s="305"/>
      <c r="AH401" s="301"/>
      <c r="AI401" s="301"/>
    </row>
    <row r="402" spans="26:35">
      <c r="Z402" s="301"/>
      <c r="AA402" s="301"/>
      <c r="AB402" s="301"/>
      <c r="AC402" s="301"/>
      <c r="AD402" s="301"/>
      <c r="AE402" s="302"/>
      <c r="AG402" s="305"/>
      <c r="AH402" s="301"/>
      <c r="AI402" s="301"/>
    </row>
    <row r="403" spans="26:35">
      <c r="Z403" s="301"/>
      <c r="AA403" s="301"/>
      <c r="AB403" s="301"/>
      <c r="AC403" s="301"/>
      <c r="AD403" s="301"/>
      <c r="AE403" s="302"/>
      <c r="AG403" s="305"/>
      <c r="AH403" s="301"/>
      <c r="AI403" s="301"/>
    </row>
    <row r="404" spans="26:35">
      <c r="Z404" s="301"/>
      <c r="AA404" s="301"/>
      <c r="AB404" s="301"/>
      <c r="AC404" s="301"/>
      <c r="AD404" s="301"/>
      <c r="AE404" s="302"/>
      <c r="AG404" s="305"/>
      <c r="AH404" s="301"/>
      <c r="AI404" s="301"/>
    </row>
    <row r="405" spans="26:35">
      <c r="Z405" s="301"/>
      <c r="AA405" s="301"/>
      <c r="AB405" s="301"/>
      <c r="AC405" s="301"/>
      <c r="AD405" s="301"/>
      <c r="AE405" s="302"/>
      <c r="AF405" s="301"/>
      <c r="AG405" s="301"/>
      <c r="AH405" s="301"/>
      <c r="AI405" s="301"/>
    </row>
    <row r="406" spans="26:35">
      <c r="Z406" s="301"/>
      <c r="AA406" s="301"/>
      <c r="AB406" s="301"/>
      <c r="AC406" s="301"/>
      <c r="AD406" s="301"/>
      <c r="AE406" s="304"/>
      <c r="AF406" s="303"/>
      <c r="AG406" s="301"/>
      <c r="AH406" s="301"/>
      <c r="AI406" s="301"/>
    </row>
    <row r="407" spans="26:35">
      <c r="Z407" s="301"/>
      <c r="AB407" s="301"/>
      <c r="AD407" s="301"/>
      <c r="AE407" s="304"/>
      <c r="AF407" s="303"/>
      <c r="AG407" s="301"/>
      <c r="AH407" s="301"/>
      <c r="AI407" s="301"/>
    </row>
    <row r="408" spans="26:35">
      <c r="AD408" s="301"/>
      <c r="AE408" s="304"/>
      <c r="AF408" s="303"/>
      <c r="AG408" s="301"/>
      <c r="AH408" s="301"/>
      <c r="AI408" s="301"/>
    </row>
    <row r="409" spans="26:35">
      <c r="AD409" s="301"/>
      <c r="AE409" s="302"/>
      <c r="AF409" s="301"/>
      <c r="AG409" s="301"/>
      <c r="AH409" s="301"/>
      <c r="AI409" s="301"/>
    </row>
  </sheetData>
  <dataConsolidate/>
  <mergeCells count="55">
    <mergeCell ref="B38:J38"/>
    <mergeCell ref="D120:J120"/>
    <mergeCell ref="E107:I107"/>
    <mergeCell ref="E108:I108"/>
    <mergeCell ref="E121:I121"/>
    <mergeCell ref="A45:M46"/>
    <mergeCell ref="H55:J55"/>
    <mergeCell ref="A43:M44"/>
    <mergeCell ref="E124:I124"/>
    <mergeCell ref="E123:I123"/>
    <mergeCell ref="D150:I150"/>
    <mergeCell ref="D152:I152"/>
    <mergeCell ref="D174:I174"/>
    <mergeCell ref="I166:K166"/>
    <mergeCell ref="I165:K165"/>
    <mergeCell ref="D148:I148"/>
    <mergeCell ref="D149:I149"/>
    <mergeCell ref="D147:I147"/>
    <mergeCell ref="D141:I141"/>
    <mergeCell ref="D142:I142"/>
    <mergeCell ref="D143:I143"/>
    <mergeCell ref="D145:I145"/>
    <mergeCell ref="D144:I144"/>
    <mergeCell ref="D175:I175"/>
    <mergeCell ref="D153:I153"/>
    <mergeCell ref="D154:I154"/>
    <mergeCell ref="D157:I157"/>
    <mergeCell ref="D158:I158"/>
    <mergeCell ref="D159:I159"/>
    <mergeCell ref="AA32:AC34"/>
    <mergeCell ref="B31:J31"/>
    <mergeCell ref="B30:J30"/>
    <mergeCell ref="G18:J18"/>
    <mergeCell ref="L20:M20"/>
    <mergeCell ref="B37:J37"/>
    <mergeCell ref="B36:J36"/>
    <mergeCell ref="B32:J32"/>
    <mergeCell ref="C22:C28"/>
    <mergeCell ref="B35:J35"/>
    <mergeCell ref="D22:I28"/>
    <mergeCell ref="J22:L28"/>
    <mergeCell ref="A3:M3"/>
    <mergeCell ref="A4:M4"/>
    <mergeCell ref="A5:M5"/>
    <mergeCell ref="B20:J20"/>
    <mergeCell ref="B16:J16"/>
    <mergeCell ref="B17:J17"/>
    <mergeCell ref="B15:J15"/>
    <mergeCell ref="B14:J14"/>
    <mergeCell ref="B19:J19"/>
    <mergeCell ref="L14:M14"/>
    <mergeCell ref="L15:M15"/>
    <mergeCell ref="L16:M16"/>
    <mergeCell ref="L17:M17"/>
    <mergeCell ref="L19:M19"/>
  </mergeCells>
  <conditionalFormatting sqref="K38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22">
    <cfRule type="cellIs" dxfId="1" priority="1" operator="notEqual">
      <formula>"OK"</formula>
    </cfRule>
    <cfRule type="cellIs" dxfId="0" priority="2" operator="equal">
      <formula>"OK"</formula>
    </cfRule>
  </conditionalFormatting>
  <dataValidations count="11">
    <dataValidation type="list" allowBlank="1" showInputMessage="1" showErrorMessage="1" errorTitle="Invalid Entry!" error="Please enter 1 for reduced blank version. Please use CVT2.0 Generator for reduced blank 2 and 3." sqref="K20" xr:uid="{00000000-0002-0000-0000-00000B000000}">
      <formula1>"1"</formula1>
    </dataValidation>
    <dataValidation type="whole" errorStyle="warning" showInputMessage="1" showErrorMessage="1" error="Non-standard target bits per pixel (fractional part)" sqref="K34" xr:uid="{00000000-0002-0000-0000-00000A000000}">
      <formula1>0</formula1>
      <formula2>16</formula2>
    </dataValidation>
    <dataValidation type="whole" errorStyle="warning" showInputMessage="1" showErrorMessage="1" error="Non-standard target bits per pixel (integer part) shall be between 0 - 16" sqref="K33" xr:uid="{00000000-0002-0000-0000-000009000000}">
      <formula1>0</formula1>
      <formula2>24</formula2>
    </dataValidation>
    <dataValidation type="custom" errorStyle="warning" showInputMessage="1" showErrorMessage="1" error="Non-Standard Link Rate" sqref="K32" xr:uid="{00000000-0002-0000-0000-000008000000}">
      <formula1>OR( DPRate=1.62, DPRate=2.7, DPRate=5.4, DPRate=8.1, DPRate=10, DPRate=13.5, DPRate=20)</formula1>
    </dataValidation>
    <dataValidation errorStyle="warning" showInputMessage="1" showErrorMessage="1" error="Non-Standard Link Rate" sqref="K35:K38" xr:uid="{00000000-0002-0000-0000-000007000000}"/>
    <dataValidation type="list" allowBlank="1" showInputMessage="1" showErrorMessage="1" sqref="K31" xr:uid="{00000000-0002-0000-0000-000006000000}">
      <formula1>"1,2,4"</formula1>
    </dataValidation>
    <dataValidation type="list" operator="equal" allowBlank="1" showInputMessage="1" showErrorMessage="1" sqref="K30" xr:uid="{00000000-0002-0000-0000-000005000000}">
      <formula1>"6,8,10,12,16,18,20,24,30,36,48"</formula1>
    </dataValidation>
    <dataValidation type="decimal" operator="greaterThan" showInputMessage="1" showErrorMessage="1" errorTitle="Invalid Number!" error="Frame Rate value must be a number." promptTitle="Vertical Frame Rate:" prompt="CVT normal blank and reduced blank version 1, standard Frame Rates are:_x000a_    50Hz_x000a_    60Hz_x000a_    75Hz_x000a_    85Hz_x000a__x000a_CVT reduced blank version 2 supports any non-interlace frame rate." sqref="K18" xr:uid="{00000000-0002-0000-0000-000003000000}">
      <formula1>0</formula1>
    </dataValidation>
    <dataValidation type="custom" showInputMessage="1" showErrorMessage="1" errorTitle="Invalid Entry!" error="Please enter Y or N (Yes/No)." sqref="K16:K17 K19" xr:uid="{00000000-0002-0000-0000-000002000000}">
      <formula1>OR(K16="Y",K16="N")</formula1>
    </dataValidation>
    <dataValidation type="whole" operator="greaterThan" showInputMessage="1" showErrorMessage="1" errorTitle="Invalid Number!" error="Horizontal Pixel value should be a whole number." promptTitle="Note:" prompt="Value will be rounded to the nearest integer number of character cells." sqref="K14" xr:uid="{00000000-0002-0000-0000-000001000000}">
      <formula1>0</formula1>
    </dataValidation>
    <dataValidation type="whole" operator="greaterThan" allowBlank="1" showInputMessage="1" showErrorMessage="1" errorTitle="Invalid Number!" error="Vertical Pixel value should be a whole number." promptTitle="Note:" prompt="Vertical linel value will be rounded to nearest integer." sqref="K15" xr:uid="{00000000-0002-0000-0000-000000000000}">
      <formula1>0</formula1>
    </dataValidation>
  </dataValidations>
  <printOptions horizontalCentered="1" verticalCentered="1"/>
  <pageMargins left="0.5" right="0.5" top="0.56000000000000005" bottom="0.56000000000000005" header="0.5" footer="0.5"/>
  <pageSetup scale="28" orientation="portrait" horizontalDpi="4294967292" verticalDpi="300" r:id="rId1"/>
  <headerFooter alignWithMargins="0">
    <oddHeader>&amp;L&amp;"Arial"&amp;10&amp;K008000[Public]&amp;1#</oddHeader>
    <oddFooter>&amp;L&amp;"Times New Roman,Regular"&amp;14VESA Coordinated Video Timing Generator
(c) Copyright 2002 Video Electronics Standards Association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F0DE-62D4-4888-B0E8-526B78A20E86}">
  <dimension ref="A1:C19"/>
  <sheetViews>
    <sheetView zoomScale="133" zoomScaleNormal="133" workbookViewId="0">
      <selection activeCell="C5" sqref="C5"/>
    </sheetView>
  </sheetViews>
  <sheetFormatPr baseColWidth="10" defaultColWidth="8.83203125" defaultRowHeight="13"/>
  <cols>
    <col min="2" max="2" width="26.1640625" bestFit="1" customWidth="1"/>
    <col min="3" max="3" width="123.33203125" bestFit="1" customWidth="1"/>
  </cols>
  <sheetData>
    <row r="1" spans="1:3" ht="16">
      <c r="A1" s="567" t="s">
        <v>331</v>
      </c>
      <c r="B1" s="567"/>
      <c r="C1" s="28"/>
    </row>
    <row r="2" spans="1:3" ht="16">
      <c r="A2" s="567"/>
      <c r="B2" s="568" t="s">
        <v>315</v>
      </c>
      <c r="C2" s="28" t="s">
        <v>314</v>
      </c>
    </row>
    <row r="4" spans="1:3" ht="16">
      <c r="A4" s="567" t="s">
        <v>332</v>
      </c>
      <c r="B4" s="28"/>
      <c r="C4" s="28"/>
    </row>
    <row r="5" spans="1:3" ht="16">
      <c r="A5" s="567"/>
      <c r="B5" s="568" t="s">
        <v>315</v>
      </c>
      <c r="C5" s="28" t="s">
        <v>316</v>
      </c>
    </row>
    <row r="6" spans="1:3" ht="16">
      <c r="A6" s="567"/>
      <c r="B6" s="569" t="s">
        <v>140</v>
      </c>
      <c r="C6" s="28" t="s">
        <v>309</v>
      </c>
    </row>
    <row r="7" spans="1:3" ht="16">
      <c r="A7" s="567"/>
      <c r="B7" s="569" t="s">
        <v>306</v>
      </c>
      <c r="C7" s="28" t="s">
        <v>312</v>
      </c>
    </row>
    <row r="8" spans="1:3" ht="16">
      <c r="A8" s="567"/>
      <c r="B8" s="569" t="s">
        <v>259</v>
      </c>
      <c r="C8" s="28" t="s">
        <v>313</v>
      </c>
    </row>
    <row r="9" spans="1:3" ht="16">
      <c r="A9" s="567"/>
      <c r="B9" s="569" t="s">
        <v>265</v>
      </c>
      <c r="C9" s="28" t="s">
        <v>308</v>
      </c>
    </row>
    <row r="10" spans="1:3" ht="16">
      <c r="A10" s="567"/>
      <c r="B10" s="569" t="s">
        <v>266</v>
      </c>
      <c r="C10" s="28" t="s">
        <v>317</v>
      </c>
    </row>
    <row r="11" spans="1:3" ht="16">
      <c r="A11" s="28"/>
      <c r="B11" s="569" t="s">
        <v>267</v>
      </c>
      <c r="C11" s="28" t="s">
        <v>318</v>
      </c>
    </row>
    <row r="12" spans="1:3" ht="16">
      <c r="A12" s="28"/>
      <c r="B12" s="569" t="s">
        <v>269</v>
      </c>
      <c r="C12" s="28" t="s">
        <v>319</v>
      </c>
    </row>
    <row r="13" spans="1:3" ht="16">
      <c r="A13" s="28"/>
      <c r="B13" s="569" t="s">
        <v>320</v>
      </c>
      <c r="C13" s="28" t="s">
        <v>260</v>
      </c>
    </row>
    <row r="14" spans="1:3" ht="16">
      <c r="A14" s="28"/>
      <c r="B14" s="569" t="s">
        <v>321</v>
      </c>
      <c r="C14" s="28" t="s">
        <v>262</v>
      </c>
    </row>
    <row r="15" spans="1:3" ht="16">
      <c r="A15" s="28"/>
      <c r="B15" s="569" t="s">
        <v>322</v>
      </c>
      <c r="C15" s="28" t="s">
        <v>263</v>
      </c>
    </row>
    <row r="16" spans="1:3" ht="16">
      <c r="A16" s="28"/>
      <c r="B16" s="569" t="s">
        <v>323</v>
      </c>
      <c r="C16" s="28" t="s">
        <v>264</v>
      </c>
    </row>
    <row r="17" spans="1:3" ht="16">
      <c r="A17" s="28"/>
      <c r="B17" s="569" t="s">
        <v>324</v>
      </c>
      <c r="C17" s="28" t="s">
        <v>268</v>
      </c>
    </row>
    <row r="18" spans="1:3" ht="16">
      <c r="A18" s="28"/>
      <c r="B18" s="569" t="s">
        <v>325</v>
      </c>
      <c r="C18" s="28" t="s">
        <v>270</v>
      </c>
    </row>
    <row r="19" spans="1:3" ht="16">
      <c r="A19" s="28"/>
      <c r="B19" s="569" t="s">
        <v>326</v>
      </c>
      <c r="C19" s="28" t="s">
        <v>250</v>
      </c>
    </row>
  </sheetData>
  <pageMargins left="0.7" right="0.7" top="0.75" bottom="0.75" header="0.3" footer="0.3"/>
  <pageSetup orientation="portrait" r:id="rId1"/>
  <headerFooter>
    <oddHeader>&amp;L&amp;"Arial"&amp;10&amp;K008000[Public]&amp;1#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73BC5BE06244BE792E6999A85D07" ma:contentTypeVersion="14" ma:contentTypeDescription="Create a new document." ma:contentTypeScope="" ma:versionID="155f9ae16a10b81e3103d034385d22d2">
  <xsd:schema xmlns:xsd="http://www.w3.org/2001/XMLSchema" xmlns:xs="http://www.w3.org/2001/XMLSchema" xmlns:p="http://schemas.microsoft.com/office/2006/metadata/properties" xmlns:ns3="a3cff847-3dbe-412a-b12b-69e3a981a79b" xmlns:ns4="9b8ddf7f-5bd8-4996-987a-c07510bf4fa9" targetNamespace="http://schemas.microsoft.com/office/2006/metadata/properties" ma:root="true" ma:fieldsID="4aeeed6e6f7c26e942ea7e6ff38e9ac0" ns3:_="" ns4:_="">
    <xsd:import namespace="a3cff847-3dbe-412a-b12b-69e3a981a79b"/>
    <xsd:import namespace="9b8ddf7f-5bd8-4996-987a-c07510bf4fa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ff847-3dbe-412a-b12b-69e3a981a7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ddf7f-5bd8-4996-987a-c07510bf4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u q h Q U h p F + B 2 j A A A A 9 Q A A A B I A H A B D b 2 5 m a W c v U G F j a 2 F n Z S 5 4 b W w g o h g A K K A U A A A A A A A A A A A A A A A A A A A A A A A A A A A A h Y 9 B D o I w F E S v Q r q n L X V D y K f E s J X E x M S 4 b U q F R v g Y K J a 7 u f B I X k G M o u 5 c z r y Z Z O Z + v U E 2 t U 1 w M f 1 g O 0 x J R D k J D O q u t F i l Z H T H M C a Z h K 3 S J 1 W Z Y A 7 j k E y D T U n t 3 D l h z H t P / Y p 2 f c U E 5 x E 7 F J u d r k 2 r Q o u D U 6 g N + b T K / y 0 i Y f 8 a I w W N Y y r 4 P A n Y 4 k F h 8 c v F z J 7 0 x 4 R 8 b N z Y G 2 k w z N f A F g n s f U E + A F B L A w Q U A A I A C A C 6 q F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h Q U i i K R 7 g O A A A A E Q A A A B M A H A B G b 3 J t d W x h c y 9 T Z W N 0 a W 9 u M S 5 t I K I Y A C i g F A A A A A A A A A A A A A A A A A A A A A A A A A A A A C t O T S 7 J z M 9 T C I b Q h t Y A U E s B A i 0 A F A A C A A g A u q h Q U h p F + B 2 j A A A A 9 Q A A A B I A A A A A A A A A A A A A A A A A A A A A A E N v b m Z p Z y 9 Q Y W N r Y W d l L n h t b F B L A Q I t A B Q A A g A I A L q o U F I P y u m r p A A A A O k A A A A T A A A A A A A A A A A A A A A A A O 8 A A A B b Q 2 9 u d G V u d F 9 U e X B l c 1 0 u e G 1 s U E s B A i 0 A F A A C A A g A u q h Q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g 8 T n M q d F Z E k G 7 Y / k 7 W m f 8 A A A A A A g A A A A A A A 2 Y A A M A A A A A Q A A A A F N N m I D g 3 / 8 b P o d q 7 G n 4 H L w A A A A A E g A A A o A A A A B A A A A D 0 9 q X 6 J k 2 F q Y L b K + + d l 2 3 5 U A A A A I m z C I P j v p E 8 K X u h a W 5 u Q B 9 H V x Q z 5 s Q 9 L 7 J E p d i s L h j b m K b 1 i c t b 2 C H 1 m 2 r 0 i m r Q O d y Q z q 6 I l w 6 y l s O L x I m J c l i 1 o l + V s Z p g l d z V t v R 8 f s g P F A A A A H k V B Z 2 f B U S s O 6 x p 7 5 q Q T G 5 4 f C z 1 < / D a t a M a s h u p > 
</file>

<file path=customXml/itemProps1.xml><?xml version="1.0" encoding="utf-8"?>
<ds:datastoreItem xmlns:ds="http://schemas.openxmlformats.org/officeDocument/2006/customXml" ds:itemID="{C4F20E14-EB6F-41B8-B39B-2BA0F19B7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ff847-3dbe-412a-b12b-69e3a981a79b"/>
    <ds:schemaRef ds:uri="9b8ddf7f-5bd8-4996-987a-c07510bf4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EA7BA1-9F01-46C9-8667-ADB381CE80AE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a3cff847-3dbe-412a-b12b-69e3a981a79b"/>
    <ds:schemaRef ds:uri="http://schemas.microsoft.com/office/infopath/2007/PartnerControls"/>
    <ds:schemaRef ds:uri="http://schemas.openxmlformats.org/package/2006/metadata/core-properties"/>
    <ds:schemaRef ds:uri="9b8ddf7f-5bd8-4996-987a-c07510bf4fa9"/>
  </ds:schemaRefs>
</ds:datastoreItem>
</file>

<file path=customXml/itemProps3.xml><?xml version="1.0" encoding="utf-8"?>
<ds:datastoreItem xmlns:ds="http://schemas.openxmlformats.org/officeDocument/2006/customXml" ds:itemID="{BDF64A3F-7E12-448B-8D27-77F345DF8DF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C4EAAFD-123B-4E31-B7B2-91C32EAA5D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161</vt:i4>
      </vt:variant>
    </vt:vector>
  </HeadingPairs>
  <TitlesOfParts>
    <vt:vector size="164" baseType="lpstr">
      <vt:lpstr>CVTv2.0</vt:lpstr>
      <vt:lpstr>CVTv1.2a</vt:lpstr>
      <vt:lpstr>RevisionHistory</vt:lpstr>
      <vt:lpstr>CVTv1.2a!ACT_FIELD_RATE</vt:lpstr>
      <vt:lpstr>CVTv1.2a!ACT_FRAME_RATE</vt:lpstr>
      <vt:lpstr>CVTv2.0!ACT_FRAME_RATE</vt:lpstr>
      <vt:lpstr>CVTv1.2a!ACT_H_FREQ</vt:lpstr>
      <vt:lpstr>CVTv2.0!ACT_H_FREQ</vt:lpstr>
      <vt:lpstr>CVTv1.2a!ACT_PIXEL_FREQ</vt:lpstr>
      <vt:lpstr>CVTv2.0!ACT_PIXEL_FREQ</vt:lpstr>
      <vt:lpstr>CVTv1.2a!ACT_VBI_LINES</vt:lpstr>
      <vt:lpstr>CVTv2.0!ACT_VBI_LINES</vt:lpstr>
      <vt:lpstr>CVTv2.0!Additional_HBlank</vt:lpstr>
      <vt:lpstr>CVTv1.2a!ASPECT_RATIO</vt:lpstr>
      <vt:lpstr>CVTv2.0!ASPECT_RATIO</vt:lpstr>
      <vt:lpstr>CVTv1.2a!BOT_MARGIN</vt:lpstr>
      <vt:lpstr>CVTv1.2a!C_PRIME</vt:lpstr>
      <vt:lpstr>CVTv1.2a!CELL_GRAN</vt:lpstr>
      <vt:lpstr>CVTv2.0!CELL_GRAN</vt:lpstr>
      <vt:lpstr>CVTv1.2a!CELL_GRAN_RND</vt:lpstr>
      <vt:lpstr>CVTv2.0!CELL_GRAN_RND</vt:lpstr>
      <vt:lpstr>CVTv1.2a!CLOCK_STEP</vt:lpstr>
      <vt:lpstr>CVTv2.0!CLOCK_STEP</vt:lpstr>
      <vt:lpstr>CVTv1.2a!COARSE_CLOCK_STEP</vt:lpstr>
      <vt:lpstr>CVTv1.2a!CRT_EST_V_BPORCH</vt:lpstr>
      <vt:lpstr>CVTv1.2a!CRT_FIELD_RATE</vt:lpstr>
      <vt:lpstr>CVTv1.2a!CRT_FRAME_RATE</vt:lpstr>
      <vt:lpstr>CVTv1.2a!CRT_H_BLANK</vt:lpstr>
      <vt:lpstr>CVTv1.2a!CRT_H_FREQ</vt:lpstr>
      <vt:lpstr>CVTv1.2a!CRT_H_PERIOD_EST</vt:lpstr>
      <vt:lpstr>CVTv1.2a!CRT_H_TOTAL</vt:lpstr>
      <vt:lpstr>CVTv1.2a!CRT_PIXEL_FREQ</vt:lpstr>
      <vt:lpstr>CVTv1.2a!CRT_TOTAL_V_LINES</vt:lpstr>
      <vt:lpstr>CVTv1.2a!DP20MiscOverhead</vt:lpstr>
      <vt:lpstr>CVTv2.0!DP20MiscOverhead</vt:lpstr>
      <vt:lpstr>CVTv1.2a!DP20MisvOverhead</vt:lpstr>
      <vt:lpstr>CVTv2.0!DP20MisvOverhead</vt:lpstr>
      <vt:lpstr>CVTv1.2a!DPBitsPerPixel</vt:lpstr>
      <vt:lpstr>CVTv2.0!DPBitsPerPixel</vt:lpstr>
      <vt:lpstr>CVTv1.2a!DPLanes</vt:lpstr>
      <vt:lpstr>CVTv2.0!DPLanes</vt:lpstr>
      <vt:lpstr>CVTv1.2a!DPModeEncodingOverhead</vt:lpstr>
      <vt:lpstr>CVTv2.0!DPModeEncodingOverhead</vt:lpstr>
      <vt:lpstr>CVTv1.2a!DPRate</vt:lpstr>
      <vt:lpstr>CVTv2.0!DPRate</vt:lpstr>
      <vt:lpstr>CVTv1.2a!DSCBitsPerPixel</vt:lpstr>
      <vt:lpstr>CVTv2.0!DSCBitsPerPixel</vt:lpstr>
      <vt:lpstr>CVTv1.2a!DSCBitsPerPixel_Frac</vt:lpstr>
      <vt:lpstr>CVTv2.0!DSCBitsPerPixel_Frac</vt:lpstr>
      <vt:lpstr>CVTv2.0!EARLY_VSYNC_RQD</vt:lpstr>
      <vt:lpstr>CVTv1.2a!FECOverHead</vt:lpstr>
      <vt:lpstr>CVTv2.0!FECOverHead</vt:lpstr>
      <vt:lpstr>CVTv1.2a!FINE_CLOCK_STEP</vt:lpstr>
      <vt:lpstr>CVTv2.0!FINE_CLOCK_STEP</vt:lpstr>
      <vt:lpstr>CVTv1.2a!FrameRate_Error</vt:lpstr>
      <vt:lpstr>CVTv2.0!FrameRate_Error</vt:lpstr>
      <vt:lpstr>CVTv1.2a!GTF_C_VAR</vt:lpstr>
      <vt:lpstr>CVTv1.2a!GTF_J_VAR</vt:lpstr>
      <vt:lpstr>CVTv1.2a!GTF_K_VAR</vt:lpstr>
      <vt:lpstr>CVTv1.2a!GTF_M_VAR</vt:lpstr>
      <vt:lpstr>CVTv1.2a!H_BACK_PORCH</vt:lpstr>
      <vt:lpstr>CVTv2.0!H_BACK_PORCH</vt:lpstr>
      <vt:lpstr>CVTv1.2a!H_BLANK</vt:lpstr>
      <vt:lpstr>CVTv2.0!H_BLANK</vt:lpstr>
      <vt:lpstr>CVTv1.2a!H_FRONT_PORCH</vt:lpstr>
      <vt:lpstr>CVTv2.0!H_FRONT_PORCH</vt:lpstr>
      <vt:lpstr>CVTv1.2a!H_PERIOD_EST</vt:lpstr>
      <vt:lpstr>CVTv2.0!H_PERIOD_EST</vt:lpstr>
      <vt:lpstr>CVTv1.2a!H_PIXELS</vt:lpstr>
      <vt:lpstr>CVTv2.0!H_PIXELS</vt:lpstr>
      <vt:lpstr>CVTv1.2a!H_PIXELS_RND</vt:lpstr>
      <vt:lpstr>CVTv2.0!H_PIXELS_RND</vt:lpstr>
      <vt:lpstr>CVTv1.2a!H_SYNC_PER</vt:lpstr>
      <vt:lpstr>CVTv1.2a!H_SYNC_RND</vt:lpstr>
      <vt:lpstr>CVTv2.0!H_SYNC_RND</vt:lpstr>
      <vt:lpstr>CVTv1.2a!IDEAL_DUTY_CYCLE</vt:lpstr>
      <vt:lpstr>CVTv1.2a!INT_RQD</vt:lpstr>
      <vt:lpstr>CVTv1.2a!INTERLACE</vt:lpstr>
      <vt:lpstr>CVTv1.2a!IP_FREQ_RQD</vt:lpstr>
      <vt:lpstr>CVTv2.0!IP_FREQ_RQD</vt:lpstr>
      <vt:lpstr>CVTv1.2a!LEFT_MARGIN</vt:lpstr>
      <vt:lpstr>CVTv1.2a!M_PRIME</vt:lpstr>
      <vt:lpstr>CVTv1.2a!MARGIN_PER</vt:lpstr>
      <vt:lpstr>CVTv1.2a!MARGINS_RQD</vt:lpstr>
      <vt:lpstr>CVTv1.2a!MIN_V_BPORCH</vt:lpstr>
      <vt:lpstr>CVTv1.2a!MIN_V_FPORCH</vt:lpstr>
      <vt:lpstr>CVTv1.2a!MIN_V_FPORCH_RND</vt:lpstr>
      <vt:lpstr>CVTv1.2a!MIN_VSYNC_BP</vt:lpstr>
      <vt:lpstr>CVTv1.2a!PixelClockPPMAdj</vt:lpstr>
      <vt:lpstr>CVTv2.0!PixelClockPPMAdj</vt:lpstr>
      <vt:lpstr>CVTv1.2a!Print_Area</vt:lpstr>
      <vt:lpstr>CVTv2.0!Print_Area</vt:lpstr>
      <vt:lpstr>CVTv1.2a!Print_Titles</vt:lpstr>
      <vt:lpstr>CVTv2.0!Print_Titles</vt:lpstr>
      <vt:lpstr>CVTv1.2a!RB_FIELD_RATE</vt:lpstr>
      <vt:lpstr>CVTv1.2a!RB_FRAME_RATE</vt:lpstr>
      <vt:lpstr>CVTv2.0!RB_FRAME_RATE</vt:lpstr>
      <vt:lpstr>CVTv1.2a!RB_H_BLANK</vt:lpstr>
      <vt:lpstr>CVTv2.0!RB_H_BLANK</vt:lpstr>
      <vt:lpstr>CVTv1.2a!RB_H_FREQ</vt:lpstr>
      <vt:lpstr>CVTv2.0!RB_H_FREQ</vt:lpstr>
      <vt:lpstr>CVTv1.2a!RB_H_PERIOD_EST</vt:lpstr>
      <vt:lpstr>CVTv2.0!RB_H_PERIOD_EST</vt:lpstr>
      <vt:lpstr>CVTv1.2a!RB_H_SYNC</vt:lpstr>
      <vt:lpstr>CVTv2.0!RB_H_SYNC</vt:lpstr>
      <vt:lpstr>CVTv1.2a!RB_H_TOTAL</vt:lpstr>
      <vt:lpstr>CVTv2.0!RB_H_TOTAL</vt:lpstr>
      <vt:lpstr>CVTv1.2a!RB_MIN_V_BLANK</vt:lpstr>
      <vt:lpstr>CVTv2.0!RB_MIN_V_BLANK</vt:lpstr>
      <vt:lpstr>CVTv1.2a!RB_MIN_V_BPORCH</vt:lpstr>
      <vt:lpstr>CVTv2.0!RB_MIN_V_BPORCH</vt:lpstr>
      <vt:lpstr>CVTv1.2a!RB_MIN_VBI</vt:lpstr>
      <vt:lpstr>CVTv2.0!RB_MIN_VBI</vt:lpstr>
      <vt:lpstr>CVTv1.2a!RB_PIXEL_FREQ</vt:lpstr>
      <vt:lpstr>CVTv2.0!RB_PIXEL_FREQ</vt:lpstr>
      <vt:lpstr>CVTv1.2a!RB_TOTAL_V_LINES</vt:lpstr>
      <vt:lpstr>CVTv2.0!RB_TOTAL_V_LINES</vt:lpstr>
      <vt:lpstr>CVTv1.2a!RB_V_FPORCH</vt:lpstr>
      <vt:lpstr>CVTv2.0!RB_V_FPORCH</vt:lpstr>
      <vt:lpstr>CVTv2.0!RB_V3_ADD_V_BLANK</vt:lpstr>
      <vt:lpstr>CVTv1.2a!RED_BLANK_RQD</vt:lpstr>
      <vt:lpstr>CVTv2.0!RED_BLANK_RQD</vt:lpstr>
      <vt:lpstr>CVTv1.2a!RED_BLANK_VER</vt:lpstr>
      <vt:lpstr>CVTv2.0!RED_BLANK_VER</vt:lpstr>
      <vt:lpstr>CVTv1.2a!RED_BLANK_VER2</vt:lpstr>
      <vt:lpstr>CVTv2.0!RED_BLANK_VER2</vt:lpstr>
      <vt:lpstr>CVTv1.2a!RequiredRawDPLinkBW</vt:lpstr>
      <vt:lpstr>CVTv2.0!RequiredRawDPLinkBW</vt:lpstr>
      <vt:lpstr>CVTv1.2a!RIGHT_MARGIN</vt:lpstr>
      <vt:lpstr>CVTv1.2a!TargetDSCBitsPerPixel</vt:lpstr>
      <vt:lpstr>CVTv2.0!TargetDSCBitsPerPixel</vt:lpstr>
      <vt:lpstr>CVTv1.2a!TOP_MARGIN</vt:lpstr>
      <vt:lpstr>CVTv1.2a!TOTAL_ACTIVE_PIXELS</vt:lpstr>
      <vt:lpstr>CVTv2.0!TOTAL_ACTIVE_PIXELS</vt:lpstr>
      <vt:lpstr>CVTv1.2a!TOTAL_PIXELS</vt:lpstr>
      <vt:lpstr>CVTv2.0!TOTAL_PIXELS</vt:lpstr>
      <vt:lpstr>CVTv1.2a!TOTAL_V_LINES</vt:lpstr>
      <vt:lpstr>CVTv2.0!TOTAL_V_LINES</vt:lpstr>
      <vt:lpstr>CVTv1.2a!TransportOverhead</vt:lpstr>
      <vt:lpstr>CVTv2.0!TransportOverhead</vt:lpstr>
      <vt:lpstr>CVTv1.2a!V_BACK_PORCH</vt:lpstr>
      <vt:lpstr>CVTv2.0!V_BACK_PORCH</vt:lpstr>
      <vt:lpstr>CVTv1.2a!V_BLANK</vt:lpstr>
      <vt:lpstr>CVTv2.0!V_BLANK</vt:lpstr>
      <vt:lpstr>CVTv1.2a!V_FIELD_RATE_RQD</vt:lpstr>
      <vt:lpstr>CVTv2.0!V_FIELD_RATE_RQD</vt:lpstr>
      <vt:lpstr>CVTv1.2a!V_FRONT_PORCH</vt:lpstr>
      <vt:lpstr>CVTv2.0!V_FRONT_PORCH</vt:lpstr>
      <vt:lpstr>CVTv1.2a!V_LINES</vt:lpstr>
      <vt:lpstr>CVTv2.0!V_LINES</vt:lpstr>
      <vt:lpstr>CVTv1.2a!V_LINES_RND</vt:lpstr>
      <vt:lpstr>CVTv2.0!V_LINES_RND</vt:lpstr>
      <vt:lpstr>CVTv1.2a!V_SYNC</vt:lpstr>
      <vt:lpstr>CVTv2.0!V_SYNC</vt:lpstr>
      <vt:lpstr>CVTv1.2a!V_SYNC_BP</vt:lpstr>
      <vt:lpstr>CVTv1.2a!V_SYNC_RND</vt:lpstr>
      <vt:lpstr>CVTv2.0!V_SYNC_RND</vt:lpstr>
      <vt:lpstr>CVTv1.2a!VBI_LINES</vt:lpstr>
      <vt:lpstr>CVTv2.0!VBI_LINES</vt:lpstr>
      <vt:lpstr>CVTv1.2a!Version</vt:lpstr>
      <vt:lpstr>CVTv2.0!Version</vt:lpstr>
      <vt:lpstr>CVTv2.0!VIDEO_OPT</vt:lpstr>
      <vt:lpstr>CVTv1.2a!VSYNC_WIDTH_TABLE</vt:lpstr>
      <vt:lpstr>CVTv2.0!VSYNC_WIDTH_TABLE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VESA Coordinated Video Timing Generator</dc:title>
  <dc:subject>CVT Timing</dc:subject>
  <dc:creator>Syed Athar Hussain</dc:creator>
  <cp:keywords>CVT Timing Generator</cp:keywords>
  <cp:lastModifiedBy>Bob Ridenour</cp:lastModifiedBy>
  <cp:lastPrinted>2003-03-03T23:34:15Z</cp:lastPrinted>
  <dcterms:created xsi:type="dcterms:W3CDTF">2002-01-07T17:37:55Z</dcterms:created>
  <dcterms:modified xsi:type="dcterms:W3CDTF">2021-12-16T02:49:52Z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0x01010054DA73BC5BE06244BE792E6999A85D07</vt:lpwstr>
  </property>
  <property fmtid="{D5CDD505-2E9C-101B-9397-08002B2CF9AE}" pid="3" name="MSIP_Label_d4243a53-6221-4f75-8154-e4b33a5707a1_Enabled">
    <vt:lpwstr>true</vt:lpwstr>
  </property>
  <property fmtid="{D5CDD505-2E9C-101B-9397-08002B2CF9AE}" pid="4" name="MSIP_Label_d4243a53-6221-4f75-8154-e4b33a5707a1_SetDate">
    <vt:lpwstr>2021-12-15T23:48:30Z</vt:lpwstr>
  </property>
  <property fmtid="{D5CDD505-2E9C-101B-9397-08002B2CF9AE}" pid="5" name="MSIP_Label_d4243a53-6221-4f75-8154-e4b33a5707a1_Method">
    <vt:lpwstr>Privileged</vt:lpwstr>
  </property>
  <property fmtid="{D5CDD505-2E9C-101B-9397-08002B2CF9AE}" pid="6" name="MSIP_Label_d4243a53-6221-4f75-8154-e4b33a5707a1_Name">
    <vt:lpwstr>Public-AIP 2.0</vt:lpwstr>
  </property>
  <property fmtid="{D5CDD505-2E9C-101B-9397-08002B2CF9AE}" pid="7" name="MSIP_Label_d4243a53-6221-4f75-8154-e4b33a5707a1_SiteId">
    <vt:lpwstr>3dd8961f-e488-4e60-8e11-a82d994e183d</vt:lpwstr>
  </property>
  <property fmtid="{D5CDD505-2E9C-101B-9397-08002B2CF9AE}" pid="8" name="MSIP_Label_d4243a53-6221-4f75-8154-e4b33a5707a1_ActionId">
    <vt:lpwstr>a3c39924-8a5c-40a2-87ee-a1c31e216176</vt:lpwstr>
  </property>
  <property fmtid="{D5CDD505-2E9C-101B-9397-08002B2CF9AE}" pid="9" name="MSIP_Label_d4243a53-6221-4f75-8154-e4b33a5707a1_ContentBits">
    <vt:lpwstr>1</vt:lpwstr>
  </property>
</Properties>
</file>