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200" windowHeight="7056"/>
  </bookViews>
  <sheets>
    <sheet name="Электрический теплый пол" sheetId="1" r:id="rId1"/>
  </sheets>
  <calcPr calcId="125725" refMode="R1C1"/>
</workbook>
</file>

<file path=xl/calcChain.xml><?xml version="1.0" encoding="utf-8"?>
<calcChain xmlns="http://schemas.openxmlformats.org/spreadsheetml/2006/main">
  <c r="D40" i="1"/>
  <c r="D39"/>
  <c r="D100"/>
  <c r="D117"/>
  <c r="D134"/>
  <c r="D92"/>
  <c r="D105"/>
  <c r="D5"/>
  <c r="D6"/>
  <c r="D13"/>
  <c r="C5"/>
  <c r="D51"/>
  <c r="D55"/>
  <c r="D65"/>
  <c r="D66"/>
  <c r="D76"/>
  <c r="D75"/>
  <c r="D78"/>
  <c r="D83"/>
  <c r="D85"/>
  <c r="D91"/>
  <c r="D96"/>
  <c r="C107"/>
  <c r="C106"/>
  <c r="C105"/>
  <c r="C104"/>
  <c r="C103"/>
  <c r="C48"/>
  <c r="C45"/>
  <c r="C44"/>
  <c r="C13"/>
  <c r="C10"/>
  <c r="C8"/>
  <c r="C4"/>
  <c r="C3"/>
  <c r="D104"/>
  <c r="C96"/>
  <c r="C95"/>
  <c r="C93"/>
  <c r="C92"/>
  <c r="C91"/>
  <c r="C90"/>
  <c r="C89"/>
  <c r="C86"/>
  <c r="C85"/>
  <c r="D103"/>
  <c r="D8"/>
  <c r="D93"/>
  <c r="D94"/>
  <c r="D10"/>
  <c r="D7"/>
  <c r="D12"/>
  <c r="D4"/>
  <c r="D15"/>
  <c r="D14"/>
  <c r="D42"/>
  <c r="D95"/>
  <c r="D89"/>
  <c r="D17"/>
  <c r="D107"/>
  <c r="D106"/>
  <c r="D125" l="1"/>
  <c r="D101"/>
  <c r="D87"/>
  <c r="D90"/>
  <c r="B104"/>
  <c r="D98"/>
  <c r="B4"/>
  <c r="C98"/>
  <c r="D99"/>
  <c r="B106"/>
  <c r="B105"/>
  <c r="D71"/>
  <c r="D73"/>
  <c r="D77"/>
  <c r="D74"/>
  <c r="D3"/>
  <c r="D44"/>
  <c r="D119"/>
  <c r="D43"/>
  <c r="D45"/>
  <c r="D80"/>
  <c r="D38"/>
  <c r="D136"/>
  <c r="D135"/>
  <c r="D108"/>
  <c r="C14"/>
  <c r="C94"/>
  <c r="C47"/>
  <c r="C43"/>
  <c r="C19"/>
  <c r="C18"/>
  <c r="C12"/>
  <c r="C7"/>
  <c r="C6"/>
  <c r="D47"/>
  <c r="D48"/>
  <c r="B48" s="1"/>
  <c r="D133"/>
  <c r="D50"/>
  <c r="D41"/>
  <c r="C101"/>
  <c r="C109"/>
  <c r="C119"/>
  <c r="B95"/>
  <c r="B91"/>
  <c r="C15"/>
  <c r="D88"/>
  <c r="D109"/>
  <c r="D11"/>
  <c r="D137"/>
  <c r="D19"/>
  <c r="D18"/>
  <c r="C117"/>
  <c r="C70"/>
  <c r="C69"/>
  <c r="C68"/>
  <c r="C65"/>
  <c r="C61"/>
  <c r="C55"/>
  <c r="C53"/>
  <c r="C46"/>
  <c r="C38"/>
  <c r="D84"/>
  <c r="D113"/>
  <c r="D46"/>
  <c r="D9"/>
  <c r="D118"/>
  <c r="D122"/>
  <c r="C74"/>
  <c r="C66"/>
  <c r="D61"/>
  <c r="D59"/>
  <c r="C121"/>
  <c r="C133"/>
  <c r="D16"/>
  <c r="D70"/>
  <c r="D69"/>
  <c r="C142"/>
  <c r="C42"/>
  <c r="B42" s="1"/>
  <c r="C41"/>
  <c r="C40"/>
  <c r="B40" s="1"/>
  <c r="C39"/>
  <c r="B39" s="1"/>
  <c r="B14"/>
  <c r="C52"/>
  <c r="D52"/>
  <c r="C16"/>
  <c r="D53"/>
  <c r="C17"/>
  <c r="D128"/>
  <c r="C99"/>
  <c r="C122"/>
  <c r="C115"/>
  <c r="D115"/>
  <c r="D62"/>
  <c r="D68"/>
  <c r="D142"/>
  <c r="C113"/>
  <c r="C63"/>
  <c r="D121"/>
  <c r="D57"/>
  <c r="D22"/>
  <c r="B36"/>
  <c r="B35"/>
  <c r="B34"/>
  <c r="B33"/>
  <c r="B32"/>
  <c r="B31"/>
  <c r="B30"/>
  <c r="B29"/>
  <c r="B28"/>
  <c r="B27"/>
  <c r="B26"/>
  <c r="B25"/>
  <c r="B24"/>
  <c r="B23"/>
  <c r="B21"/>
  <c r="B22"/>
  <c r="C50"/>
  <c r="C51"/>
  <c r="B16" l="1"/>
  <c r="B101"/>
  <c r="B52"/>
  <c r="B70"/>
  <c r="B113"/>
  <c r="B41"/>
  <c r="B109"/>
  <c r="B38"/>
  <c r="B50"/>
  <c r="B74"/>
  <c r="B15"/>
  <c r="B8"/>
  <c r="B13"/>
  <c r="B103"/>
  <c r="B94"/>
  <c r="B47"/>
  <c r="B7"/>
  <c r="B44"/>
  <c r="B19"/>
  <c r="B69"/>
  <c r="B6"/>
  <c r="B107"/>
  <c r="B5"/>
  <c r="B12"/>
  <c r="B10"/>
  <c r="B46"/>
  <c r="B122"/>
  <c r="B115"/>
  <c r="B51"/>
  <c r="B43"/>
  <c r="B45"/>
  <c r="C73"/>
  <c r="C72"/>
  <c r="B55"/>
  <c r="D63" l="1"/>
  <c r="B63" s="1"/>
  <c r="C87" l="1"/>
  <c r="C83"/>
  <c r="B85"/>
  <c r="B90"/>
  <c r="C88"/>
  <c r="C11"/>
  <c r="C9"/>
  <c r="B9" s="1"/>
  <c r="C135" l="1"/>
  <c r="C134"/>
  <c r="D145"/>
  <c r="C145"/>
  <c r="E134"/>
  <c r="B119"/>
  <c r="B135" l="1"/>
  <c r="B145"/>
  <c r="B134"/>
  <c r="C138"/>
  <c r="C139"/>
  <c r="D139"/>
  <c r="D138"/>
  <c r="D146"/>
  <c r="D144"/>
  <c r="D143"/>
  <c r="D141"/>
  <c r="D140"/>
  <c r="C146"/>
  <c r="C144"/>
  <c r="C143"/>
  <c r="B142"/>
  <c r="C141"/>
  <c r="C140"/>
  <c r="C137"/>
  <c r="B137" s="1"/>
  <c r="C136"/>
  <c r="B136" s="1"/>
  <c r="B133"/>
  <c r="C132"/>
  <c r="C131"/>
  <c r="C129"/>
  <c r="C128"/>
  <c r="B128" s="1"/>
  <c r="C126"/>
  <c r="C125"/>
  <c r="B125" s="1"/>
  <c r="C124"/>
  <c r="C118"/>
  <c r="C114"/>
  <c r="C112"/>
  <c r="C111"/>
  <c r="C110"/>
  <c r="C108"/>
  <c r="C100"/>
  <c r="C84"/>
  <c r="C82"/>
  <c r="C80"/>
  <c r="C79"/>
  <c r="C78"/>
  <c r="C77"/>
  <c r="C76"/>
  <c r="C75"/>
  <c r="C71"/>
  <c r="B68"/>
  <c r="C64"/>
  <c r="C62"/>
  <c r="B61"/>
  <c r="C60"/>
  <c r="C59"/>
  <c r="C58"/>
  <c r="C57"/>
  <c r="C56"/>
  <c r="C54"/>
  <c r="D132"/>
  <c r="D131"/>
  <c r="D129"/>
  <c r="D126"/>
  <c r="D114"/>
  <c r="D112"/>
  <c r="D111"/>
  <c r="D110"/>
  <c r="B92"/>
  <c r="B88"/>
  <c r="D86"/>
  <c r="D82"/>
  <c r="D79"/>
  <c r="D72"/>
  <c r="D64"/>
  <c r="D60"/>
  <c r="D58"/>
  <c r="D56"/>
  <c r="D54"/>
  <c r="B86" l="1"/>
  <c r="B108"/>
  <c r="B60"/>
  <c r="B138"/>
  <c r="B143"/>
  <c r="B139"/>
  <c r="B141"/>
  <c r="B146"/>
  <c r="B140"/>
  <c r="B144"/>
  <c r="B53"/>
  <c r="B57"/>
  <c r="B65"/>
  <c r="B78"/>
  <c r="B83"/>
  <c r="B87"/>
  <c r="B98"/>
  <c r="B121"/>
  <c r="B56"/>
  <c r="B64"/>
  <c r="B73"/>
  <c r="B77"/>
  <c r="B82"/>
  <c r="B112"/>
  <c r="B118"/>
  <c r="B126"/>
  <c r="B132"/>
  <c r="B59"/>
  <c r="B72"/>
  <c r="B76"/>
  <c r="B80"/>
  <c r="B89"/>
  <c r="B93"/>
  <c r="B100"/>
  <c r="B111"/>
  <c r="B117"/>
  <c r="B131"/>
  <c r="B3"/>
  <c r="B11"/>
  <c r="B54"/>
  <c r="B58"/>
  <c r="B62"/>
  <c r="B66"/>
  <c r="B71"/>
  <c r="B75"/>
  <c r="B79"/>
  <c r="B84"/>
  <c r="B96"/>
  <c r="B99"/>
  <c r="B110"/>
  <c r="B114"/>
  <c r="B124"/>
  <c r="B129"/>
  <c r="B18"/>
  <c r="B17"/>
</calcChain>
</file>

<file path=xl/sharedStrings.xml><?xml version="1.0" encoding="utf-8"?>
<sst xmlns="http://schemas.openxmlformats.org/spreadsheetml/2006/main" count="237" uniqueCount="144">
  <si>
    <t xml:space="preserve"> Нагревательный мат ТСП-75-0,5</t>
  </si>
  <si>
    <t xml:space="preserve"> Нагревательный мат ТСП-150-1,0</t>
  </si>
  <si>
    <t xml:space="preserve"> Нагревательный мат ТСП-225-1,5</t>
  </si>
  <si>
    <t xml:space="preserve"> Нагревательный мат ТСП-300-2,0</t>
  </si>
  <si>
    <t xml:space="preserve"> Нагревательный мат ТСП-375-2,5</t>
  </si>
  <si>
    <t xml:space="preserve"> Нагревательный мат ТСП-450-3,0</t>
  </si>
  <si>
    <t xml:space="preserve"> Нагревательный мат ТСП-525-3,5</t>
  </si>
  <si>
    <t xml:space="preserve"> Нагревательный мат ТСП-600-4,0</t>
  </si>
  <si>
    <t xml:space="preserve"> Нагревательный мат ТСП-675-4,5</t>
  </si>
  <si>
    <t xml:space="preserve"> Нагревательный мат ТСП-750-5,0</t>
  </si>
  <si>
    <t xml:space="preserve"> Нагревательный мат ТСП-900-6,0</t>
  </si>
  <si>
    <t xml:space="preserve"> Нагревательный мат ТСП-1050-7,0</t>
  </si>
  <si>
    <t xml:space="preserve"> Нагревательный мат ТСП-1200-8,0</t>
  </si>
  <si>
    <t xml:space="preserve"> Нагревательный мат ТСП-1350-9,0</t>
  </si>
  <si>
    <t xml:space="preserve"> Нагревательный мат ТСП-1500-10,0</t>
  </si>
  <si>
    <t xml:space="preserve"> Нагревательный мат ТСП-1800-12,0</t>
  </si>
  <si>
    <t xml:space="preserve"> Нагревательный мат ТСП-2250-15,0</t>
  </si>
  <si>
    <t>Нагревательная секция "Теплый пол №1" СТСП-5,3-75</t>
  </si>
  <si>
    <t>Нагревательная секция "Теплый пол №1" СТСП-16,0-225</t>
  </si>
  <si>
    <t>Нагревательная секция "Теплый пол №1" СТСП-21,4-300</t>
  </si>
  <si>
    <t>Нагревательная секция "Теплый пол №1" СТСП-26,8-375</t>
  </si>
  <si>
    <t>Нагревательная секция "Теплый пол №1" СТСП-32,1-450</t>
  </si>
  <si>
    <t>Нагревательная секция "Теплый пол №1" СТСП-42,8-600</t>
  </si>
  <si>
    <t>Нагревательная секция "Теплый пол №1" СТСП-64,3-900</t>
  </si>
  <si>
    <t>Нагревательная секция "Теплый пол №1" СТСП-80,0-1200</t>
  </si>
  <si>
    <t>Нагревательная секция "Теплый пол №1" СТСП-102,0-1500</t>
  </si>
  <si>
    <t>Нагревательная секция "Теплый пол №1" СТСП-143,0-2000</t>
  </si>
  <si>
    <t>Нагревательная секция "Теплый пол №1" СТСП-10,6-150</t>
  </si>
  <si>
    <t>Нагревательный мат  GS-80-0,5</t>
  </si>
  <si>
    <t>Нагревательный мат GS-160-1,0</t>
  </si>
  <si>
    <t>Нагревательный мат  GS-240-1,5</t>
  </si>
  <si>
    <t>Нагревательный мат  GS-480-3,0</t>
  </si>
  <si>
    <t>Нагревательный мат  GS-400-2,5</t>
  </si>
  <si>
    <t>Нагревательный мат  GS-320-2,0</t>
  </si>
  <si>
    <t>Нагревательный мат  GS-640-4,0</t>
  </si>
  <si>
    <t>Нагревательный мат GS-560-3,5</t>
  </si>
  <si>
    <t>Нагревательный мат GS-720-4,5</t>
  </si>
  <si>
    <t>Нагревательный мат GS-800-5,0</t>
  </si>
  <si>
    <t>Нагревательный мат GS-960-6,0</t>
  </si>
  <si>
    <t>Нагревательный мат GS-1120-7,0</t>
  </si>
  <si>
    <t>Нагревательный мат GS-1280-8,0</t>
  </si>
  <si>
    <t>Нагревательный мат GS-1440-9,0</t>
  </si>
  <si>
    <t>Нагревательный мат GS-1600-10,0</t>
  </si>
  <si>
    <t>Нагревательный мат GS-1920-12,0</t>
  </si>
  <si>
    <t>Нагревательный мат GS-2400-15,0</t>
  </si>
  <si>
    <t>Нагревательная секция GS-80-5,0</t>
  </si>
  <si>
    <t>Нагревательная секция GS-160-10,0</t>
  </si>
  <si>
    <t>Нагревательная секция GS-240-15,0</t>
  </si>
  <si>
    <t>Нагревательная секция GS-320-20,3</t>
  </si>
  <si>
    <t>Нагревательная секция GS-400-25,5</t>
  </si>
  <si>
    <t>Нагревательная секция GS-480-30,0</t>
  </si>
  <si>
    <t>Нагревательная секция GS-640-39,0</t>
  </si>
  <si>
    <t>Нагревательная секция GS-800-48,5</t>
  </si>
  <si>
    <t>Нагревательная секция GS-960-56,5</t>
  </si>
  <si>
    <t>Нагревательная секция GS-1280-72,5</t>
  </si>
  <si>
    <t>Нагревательная секция GS-1600-90,0</t>
  </si>
  <si>
    <t>Нагревательная секция GS-1920-108,0</t>
  </si>
  <si>
    <t>Нагревательная секция GS-2400-136,0</t>
  </si>
  <si>
    <t>Нагревательный мат на фольге GS-75-0,5</t>
  </si>
  <si>
    <t>Нагревательный мат на фольге GS-225-1,5</t>
  </si>
  <si>
    <t>Нагревательный мат на фольге GS-150-1,0</t>
  </si>
  <si>
    <t>Нагревательный мат на фольге GS-300-2,0</t>
  </si>
  <si>
    <t>Нагревательный мат на фольге GS-375-2,5</t>
  </si>
  <si>
    <t>Нагревательный мат на фольге GS-450-3,0</t>
  </si>
  <si>
    <t>Нагревательный мат на фольге GS-525-3,5</t>
  </si>
  <si>
    <t>Нагревательный мат на фольге GS-600-4,0</t>
  </si>
  <si>
    <t>Нагревательный мат на фольге GS-675-4,5</t>
  </si>
  <si>
    <t>Нагревательный мат на фольге GS-750-5,0</t>
  </si>
  <si>
    <t>Нагревательный мат на фольге GS-1050-7,0</t>
  </si>
  <si>
    <t>Нагревательный мат на фольге GS-1200-8,0</t>
  </si>
  <si>
    <t>Нагревательный мат на фольге GS-1350-9,0</t>
  </si>
  <si>
    <t>Нагревательный мат на фольге GS-1500-10,0</t>
  </si>
  <si>
    <t>Нагревательный мат на фольге GS-900-6,0</t>
  </si>
  <si>
    <t xml:space="preserve">Ик пленка Leeil 1м </t>
  </si>
  <si>
    <t xml:space="preserve">Ик пленка Leeil 0.8 м </t>
  </si>
  <si>
    <t>Ик пленка Leeil 0.5 м</t>
  </si>
  <si>
    <t>Монтажные комплекты для ИК</t>
  </si>
  <si>
    <t>Wi-fi X7HGB black</t>
  </si>
  <si>
    <t>Wi-fi RS-001</t>
  </si>
  <si>
    <t>Wi-fi w7</t>
  </si>
  <si>
    <t>Sensor WarmLife</t>
  </si>
  <si>
    <t>Терморег МТР-2 40А</t>
  </si>
  <si>
    <t xml:space="preserve">SRL 16 Wt </t>
  </si>
  <si>
    <t>SRF 15 Wt</t>
  </si>
  <si>
    <t>SRL UV 24 Wt</t>
  </si>
  <si>
    <t>SRL UV 30 Wt</t>
  </si>
  <si>
    <t>SRL 24 Wt</t>
  </si>
  <si>
    <t>KS UV 30 Wt</t>
  </si>
  <si>
    <t>Ковер First Heat 60 x 35</t>
  </si>
  <si>
    <t>Ковер First Heat 60 x 60</t>
  </si>
  <si>
    <t xml:space="preserve">Скотч Армированный </t>
  </si>
  <si>
    <t xml:space="preserve">Крепление лента для SRL UV </t>
  </si>
  <si>
    <t>75р</t>
  </si>
  <si>
    <t>прайс</t>
  </si>
  <si>
    <t>Сальник AKS-3 для кабеля внутрь трубы</t>
  </si>
  <si>
    <t>Сальник 1/2 для кабеля внутрь трубы</t>
  </si>
  <si>
    <t>клапан протечки воды</t>
  </si>
  <si>
    <t>Аквадор pro set</t>
  </si>
  <si>
    <t>Аквадор standart set</t>
  </si>
  <si>
    <t>Радиодатчик</t>
  </si>
  <si>
    <t xml:space="preserve">Радиодатчик с проводом </t>
  </si>
  <si>
    <t>SRL 30 Wt</t>
  </si>
  <si>
    <t>Монтажные комплекты для SRL с колпочком</t>
  </si>
  <si>
    <t>Монтажные комплекты для SRL без колпочка</t>
  </si>
  <si>
    <t>Колпачек SRL</t>
  </si>
  <si>
    <t>Датчик</t>
  </si>
  <si>
    <t>Кабель саморегул от замерзания труб Ice Free 17Вт 2м</t>
  </si>
  <si>
    <t>Кабель саморегул от замерзания труб Ice Free 17Вт 6м</t>
  </si>
  <si>
    <t>Кабель саморегул от замерзания труб Ice Free 15Вт 1м</t>
  </si>
  <si>
    <t>Кабель саморегул от замерзания труб Ice Free 30Вт 1м</t>
  </si>
  <si>
    <t>1 штука в правда ванна</t>
  </si>
  <si>
    <t>75(72)</t>
  </si>
  <si>
    <t>1 шт паркет клаб</t>
  </si>
  <si>
    <t>Gs element</t>
  </si>
  <si>
    <t>ТС 600</t>
  </si>
  <si>
    <t>Нагревательный мат ТСП-90-0,45</t>
  </si>
  <si>
    <t>Нагревательный мат ТСП-180-0,9</t>
  </si>
  <si>
    <t>Нагревательный мат ТСП-260-1,3</t>
  </si>
  <si>
    <t>Нагревательный мат ТСП-360-1,8</t>
  </si>
  <si>
    <t>Нагревательный мат ТСП-440-2,2</t>
  </si>
  <si>
    <t>Нагревательный мат ТСП-520-2,6</t>
  </si>
  <si>
    <t>Нагревательный мат ТСП-600-3,0</t>
  </si>
  <si>
    <t>Нагревательный мат ТСП-720-3,6</t>
  </si>
  <si>
    <t>Нагревательный мат ТСП-840-4,2</t>
  </si>
  <si>
    <t>Нагревательный мат ТСП-1000-5,0</t>
  </si>
  <si>
    <t>Нагревательный мат ТСП-1200-6,0</t>
  </si>
  <si>
    <t>Нагревательный мат ТСП-1300-6,5</t>
  </si>
  <si>
    <t>Нагревательный мат ТСП-1500-7,5</t>
  </si>
  <si>
    <t>Нагревательный мат ТСП-1680-8,4</t>
  </si>
  <si>
    <t>Нагревательный мат ТСП-2000-10,0</t>
  </si>
  <si>
    <t>Нагревательный мат ТСП-2400-12,0</t>
  </si>
  <si>
    <t xml:space="preserve">SRF 17 </t>
  </si>
  <si>
    <t xml:space="preserve"> 1 женя киров</t>
  </si>
  <si>
    <t>1 шт Тимклимат</t>
  </si>
  <si>
    <t>30 у тимура</t>
  </si>
  <si>
    <t>300 тимур</t>
  </si>
  <si>
    <t>1 женя,4 тимур</t>
  </si>
  <si>
    <t>67(65)</t>
  </si>
  <si>
    <t>ТС 101</t>
  </si>
  <si>
    <t>ТС 201</t>
  </si>
  <si>
    <t>ТС 403</t>
  </si>
  <si>
    <t>Терморег 70.16</t>
  </si>
  <si>
    <t>Терморег 70.26</t>
  </si>
  <si>
    <t>10 шт салават не оплаченный , 30 тимур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</si>
</sst>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b/>
      <sz val="10"/>
      <color theme="9"/>
      <name val="Arial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Tahoma"/>
      <family val="2"/>
      <charset val="204"/>
    </font>
    <font>
      <b/>
      <sz val="10"/>
      <color rgb="FF000000"/>
      <name val="Arial"/>
      <family val="2"/>
      <charset val="204"/>
    </font>
    <font>
      <sz val="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Protection="0"/>
    <xf numFmtId="0" fontId="3" fillId="0" borderId="0"/>
    <xf numFmtId="0" fontId="6" fillId="0" borderId="0">
      <alignment horizontal="left" vertical="top" wrapText="1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7" fillId="0" borderId="0"/>
    <xf numFmtId="0" fontId="9" fillId="0" borderId="0">
      <alignment horizontal="right" vertical="top"/>
    </xf>
    <xf numFmtId="0" fontId="10" fillId="0" borderId="0">
      <alignment horizontal="center" vertical="top"/>
    </xf>
    <xf numFmtId="0" fontId="8" fillId="0" borderId="0">
      <alignment horizontal="left" vertical="top"/>
    </xf>
    <xf numFmtId="0" fontId="10" fillId="0" borderId="0">
      <alignment horizontal="center" vertical="top"/>
    </xf>
    <xf numFmtId="0" fontId="10" fillId="0" borderId="0">
      <alignment horizontal="right" vertical="center"/>
    </xf>
    <xf numFmtId="0" fontId="8" fillId="0" borderId="0">
      <alignment horizontal="left" vertical="center"/>
    </xf>
    <xf numFmtId="0" fontId="10" fillId="0" borderId="0">
      <alignment horizontal="center" vertical="center"/>
    </xf>
    <xf numFmtId="0" fontId="10" fillId="0" borderId="0">
      <alignment horizontal="center" vertical="center"/>
    </xf>
    <xf numFmtId="0" fontId="10" fillId="0" borderId="0">
      <alignment horizontal="right" vertical="top"/>
    </xf>
    <xf numFmtId="0" fontId="8" fillId="0" borderId="0">
      <alignment horizontal="left" vertical="top"/>
    </xf>
    <xf numFmtId="0" fontId="10" fillId="0" borderId="0">
      <alignment horizontal="center" vertical="top"/>
    </xf>
    <xf numFmtId="0" fontId="10" fillId="0" borderId="0">
      <alignment horizontal="center" vertical="top"/>
    </xf>
    <xf numFmtId="0" fontId="11" fillId="0" borderId="0">
      <alignment horizontal="left" vertical="top"/>
    </xf>
    <xf numFmtId="0" fontId="3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9" fontId="5" fillId="2" borderId="2" xfId="1" applyNumberFormat="1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/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top"/>
    </xf>
    <xf numFmtId="0" fontId="13" fillId="0" borderId="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vertical="top"/>
    </xf>
    <xf numFmtId="0" fontId="14" fillId="4" borderId="9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0" borderId="6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/>
    <xf numFmtId="0" fontId="12" fillId="0" borderId="5" xfId="0" applyFont="1" applyBorder="1"/>
    <xf numFmtId="0" fontId="14" fillId="4" borderId="9" xfId="0" applyFont="1" applyFill="1" applyBorder="1"/>
    <xf numFmtId="0" fontId="12" fillId="0" borderId="6" xfId="0" applyFont="1" applyBorder="1" applyAlignment="1">
      <alignment horizontal="left"/>
    </xf>
    <xf numFmtId="0" fontId="14" fillId="4" borderId="9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 wrapText="1"/>
    </xf>
    <xf numFmtId="0" fontId="16" fillId="4" borderId="9" xfId="0" applyFont="1" applyFill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21" fillId="4" borderId="9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0" fillId="5" borderId="11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</cellXfs>
  <cellStyles count="32">
    <cellStyle name="S0" xfId="14"/>
    <cellStyle name="S10" xfId="24"/>
    <cellStyle name="S11" xfId="25"/>
    <cellStyle name="S12" xfId="26"/>
    <cellStyle name="S13" xfId="16"/>
    <cellStyle name="S2" xfId="17"/>
    <cellStyle name="S3" xfId="15"/>
    <cellStyle name="S4" xfId="18"/>
    <cellStyle name="S5" xfId="19"/>
    <cellStyle name="S6" xfId="20"/>
    <cellStyle name="S7" xfId="21"/>
    <cellStyle name="S8" xfId="22"/>
    <cellStyle name="S9" xfId="23"/>
    <cellStyle name="Обычный" xfId="0" builtinId="0"/>
    <cellStyle name="Обычный 11" xfId="9"/>
    <cellStyle name="Обычный 13" xfId="7"/>
    <cellStyle name="Обычный 2" xfId="4"/>
    <cellStyle name="Обычный 2 2" xfId="29"/>
    <cellStyle name="Обычный 3" xfId="12"/>
    <cellStyle name="Обычный 3 2" xfId="8"/>
    <cellStyle name="Обычный 3 3" xfId="2"/>
    <cellStyle name="Обычный 3 4" xfId="31"/>
    <cellStyle name="Обычный 4" xfId="13"/>
    <cellStyle name="Обычный 5" xfId="27"/>
    <cellStyle name="Обычный 6" xfId="1"/>
    <cellStyle name="Обычный 7" xfId="28"/>
    <cellStyle name="Процентный 2" xfId="10"/>
    <cellStyle name="Процентный 3" xfId="6"/>
    <cellStyle name="Финансовый 2" xfId="5"/>
    <cellStyle name="Финансовый 2 2" xfId="11"/>
    <cellStyle name="Финансовый 2 3" xfId="30"/>
    <cellStyle name="Финансовый 3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249</xdr:row>
      <xdr:rowOff>304800</xdr:rowOff>
    </xdr:from>
    <xdr:to>
      <xdr:col>0</xdr:col>
      <xdr:colOff>527616</xdr:colOff>
      <xdr:row>250</xdr:row>
      <xdr:rowOff>3810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7" y="41178480"/>
          <a:ext cx="2432616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2"/>
  <sheetViews>
    <sheetView tabSelected="1" topLeftCell="A2" zoomScale="80" zoomScaleNormal="80" workbookViewId="0">
      <pane ySplit="1" topLeftCell="A3" activePane="bottomLeft" state="frozen"/>
      <selection activeCell="A2" sqref="A2"/>
      <selection pane="bottomLeft" activeCell="H36" sqref="H36"/>
    </sheetView>
  </sheetViews>
  <sheetFormatPr defaultRowHeight="14.4"/>
  <cols>
    <col min="1" max="1" width="56.5546875" style="29" customWidth="1"/>
    <col min="2" max="2" width="25" style="31" customWidth="1"/>
    <col min="3" max="3" width="23.109375" style="31" customWidth="1"/>
    <col min="4" max="4" width="19.77734375" style="59" customWidth="1"/>
    <col min="5" max="5" width="14.88671875" style="64" customWidth="1"/>
    <col min="6" max="6" width="37.5546875" style="83" customWidth="1"/>
    <col min="7" max="7" width="15.5546875" style="81" bestFit="1" customWidth="1"/>
    <col min="8" max="8" width="12" style="81" customWidth="1"/>
    <col min="29" max="30" width="8.88671875" customWidth="1"/>
    <col min="31" max="31" width="7.44140625" customWidth="1"/>
  </cols>
  <sheetData>
    <row r="1" spans="1:8" ht="15" hidden="1" customHeight="1">
      <c r="A1" s="4"/>
      <c r="B1" s="30"/>
      <c r="C1" s="30"/>
      <c r="D1" s="58"/>
      <c r="E1" s="65"/>
    </row>
    <row r="2" spans="1:8" ht="15" customHeight="1">
      <c r="A2" s="37"/>
      <c r="B2" s="38"/>
      <c r="C2" s="38"/>
      <c r="D2" s="60"/>
      <c r="E2" s="68"/>
    </row>
    <row r="3" spans="1:8">
      <c r="A3" s="7" t="s">
        <v>0</v>
      </c>
      <c r="B3" s="31">
        <f>17 - D3+C3</f>
        <v>20</v>
      </c>
      <c r="C3" s="31">
        <f>5+3+5+15+5+10+6+6</f>
        <v>55</v>
      </c>
      <c r="D3" s="59">
        <f>0+3+2+2+3+3+2+1+8+1+1+1+2+2+1+1+1+4+1+2+1+1+1+1+1+1+2+3</f>
        <v>52</v>
      </c>
      <c r="E3" s="66" t="s">
        <v>93</v>
      </c>
      <c r="G3" s="81">
        <v>0</v>
      </c>
      <c r="H3" s="81">
        <v>1</v>
      </c>
    </row>
    <row r="4" spans="1:8" ht="15" customHeight="1">
      <c r="A4" s="5" t="s">
        <v>1</v>
      </c>
      <c r="B4" s="31">
        <f>10 -D4+C4-4+1</f>
        <v>24</v>
      </c>
      <c r="C4" s="31">
        <f>20+30+2+1+15+15+11+25+8</f>
        <v>127</v>
      </c>
      <c r="D4" s="59">
        <f>1+1+5+1+4+2+1+1+1+2+6+3+2+2+4+1+5+1+1+2+5+1+2+2+1+5+1+1+4+1+1+1+2+1+2+1+1+1+1+2+2+1+2+2+3+1+1+4+1+2+1+1+1+2+2+1+1</f>
        <v>110</v>
      </c>
      <c r="E4" s="66" t="s">
        <v>93</v>
      </c>
      <c r="G4" s="81">
        <v>2</v>
      </c>
      <c r="H4" s="81">
        <v>3</v>
      </c>
    </row>
    <row r="5" spans="1:8">
      <c r="A5" s="5" t="s">
        <v>2</v>
      </c>
      <c r="B5" s="31">
        <f xml:space="preserve"> 13 -D5+C5-5</f>
        <v>10</v>
      </c>
      <c r="C5" s="31">
        <f>10+15+5+4+15+10+8+5+8</f>
        <v>80</v>
      </c>
      <c r="D5" s="59">
        <f>1+5+1+5+1+2+1+1+1+1+4+2+1+1+1+5+3+1+5+1+4+1+2+1+2+1+1+1+1+1+1+3+1+1+1+1+4+3+1+1+1+1+1</f>
        <v>78</v>
      </c>
      <c r="E5" s="66" t="s">
        <v>93</v>
      </c>
      <c r="G5" s="81">
        <v>4</v>
      </c>
      <c r="H5" s="81">
        <v>5</v>
      </c>
    </row>
    <row r="6" spans="1:8">
      <c r="A6" s="5" t="s">
        <v>3</v>
      </c>
      <c r="B6" s="32">
        <f>13 - D6+C6-1</f>
        <v>12</v>
      </c>
      <c r="C6" s="31">
        <f>10+2+2+7+5+10+4+15</f>
        <v>55</v>
      </c>
      <c r="D6" s="59">
        <f>2+2+1+2+3+1+2+1+1+2+1+2+1+3+1+1+1+2+1+1+1+1+3+1+1+2+1+1+3+2+1+1+1+1+1+1+1+1</f>
        <v>55</v>
      </c>
      <c r="E6" s="66" t="s">
        <v>93</v>
      </c>
      <c r="G6" s="81">
        <v>6</v>
      </c>
      <c r="H6" s="81">
        <v>7</v>
      </c>
    </row>
    <row r="7" spans="1:8">
      <c r="A7" s="5" t="s">
        <v>4</v>
      </c>
      <c r="B7" s="32">
        <f>8-D7+C7-1+2</f>
        <v>9</v>
      </c>
      <c r="C7" s="31">
        <f>2+5+4+15+4+4+5</f>
        <v>39</v>
      </c>
      <c r="D7" s="59">
        <f>1+2+2+1+1+1+1+3+1+1+2+2+1+1+1+1+1+2+1+1+2+1+1+1+1+1+1+1+2+1</f>
        <v>39</v>
      </c>
      <c r="E7" s="66" t="s">
        <v>93</v>
      </c>
      <c r="G7" s="81">
        <v>8</v>
      </c>
      <c r="H7" s="81">
        <v>9</v>
      </c>
    </row>
    <row r="8" spans="1:8">
      <c r="A8" s="5" t="s">
        <v>5</v>
      </c>
      <c r="B8" s="32">
        <f>13+C8-D8-1-3</f>
        <v>11</v>
      </c>
      <c r="C8" s="31">
        <f>2+1+2+13+8+6+5+3</f>
        <v>40</v>
      </c>
      <c r="D8" s="59">
        <f>2+2+2+2+1+1+1+1+3+1+1+1+1+2+4+1+1+1+1+1+1+1+1+1+2+1+1</f>
        <v>38</v>
      </c>
      <c r="E8" s="66" t="s">
        <v>93</v>
      </c>
      <c r="G8" s="81">
        <v>10</v>
      </c>
      <c r="H8" s="81">
        <v>11</v>
      </c>
    </row>
    <row r="9" spans="1:8">
      <c r="A9" s="5" t="s">
        <v>6</v>
      </c>
      <c r="B9" s="32">
        <f>16+C9-D9</f>
        <v>8</v>
      </c>
      <c r="C9" s="31">
        <f>0</f>
        <v>0</v>
      </c>
      <c r="D9" s="59">
        <f>0+1+1+1+1+1+2+1</f>
        <v>8</v>
      </c>
      <c r="E9" s="66" t="s">
        <v>93</v>
      </c>
      <c r="G9" s="81">
        <v>12</v>
      </c>
      <c r="H9" s="81">
        <v>13</v>
      </c>
    </row>
    <row r="10" spans="1:8">
      <c r="A10" s="5" t="s">
        <v>7</v>
      </c>
      <c r="B10" s="32">
        <f>12 +C10-D10</f>
        <v>7</v>
      </c>
      <c r="C10" s="31">
        <f>0+5+4+6+10+6+5+2</f>
        <v>38</v>
      </c>
      <c r="D10" s="59">
        <f>0+2+1+4+2+2+1+1+1+1+4+1+1+1+1+2+2+1+2+1+1+1+1+1+3+1+1+2+1</f>
        <v>43</v>
      </c>
      <c r="E10" s="66" t="s">
        <v>93</v>
      </c>
      <c r="G10" s="81">
        <v>14</v>
      </c>
      <c r="H10" s="81">
        <v>15</v>
      </c>
    </row>
    <row r="11" spans="1:8">
      <c r="A11" s="5" t="s">
        <v>8</v>
      </c>
      <c r="B11" s="32">
        <f>10+C11-D11</f>
        <v>5</v>
      </c>
      <c r="C11" s="31">
        <f>0</f>
        <v>0</v>
      </c>
      <c r="D11" s="59">
        <f>0+1+1+3</f>
        <v>5</v>
      </c>
      <c r="E11" s="66" t="s">
        <v>93</v>
      </c>
      <c r="G11" s="81">
        <v>16</v>
      </c>
      <c r="H11" s="81">
        <v>17</v>
      </c>
    </row>
    <row r="12" spans="1:8">
      <c r="A12" s="5" t="s">
        <v>9</v>
      </c>
      <c r="B12" s="32">
        <f>5+C12-D12-4</f>
        <v>11</v>
      </c>
      <c r="C12" s="31">
        <f>3+4+2+8+5+10</f>
        <v>32</v>
      </c>
      <c r="D12" s="59">
        <f>0+1+1+1+1+1+1+1+2+2+1+1+1+2+1+3+1+1</f>
        <v>22</v>
      </c>
      <c r="E12" s="66" t="s">
        <v>93</v>
      </c>
      <c r="G12" s="81">
        <v>18</v>
      </c>
      <c r="H12" s="81">
        <v>19</v>
      </c>
    </row>
    <row r="13" spans="1:8" ht="14.55" customHeight="1">
      <c r="A13" s="5" t="s">
        <v>10</v>
      </c>
      <c r="B13" s="32">
        <f>7+C13-D13+2+1</f>
        <v>5</v>
      </c>
      <c r="C13" s="31">
        <f>0+2+2+11+3+2</f>
        <v>20</v>
      </c>
      <c r="D13" s="59">
        <f>1+2+1+1+1+1+3+1+3+1+2+1+1+1+1+2+1+1</f>
        <v>25</v>
      </c>
      <c r="E13" s="66" t="s">
        <v>93</v>
      </c>
      <c r="G13" s="81">
        <v>20</v>
      </c>
      <c r="H13" s="81">
        <v>21</v>
      </c>
    </row>
    <row r="14" spans="1:8">
      <c r="A14" s="5" t="s">
        <v>11</v>
      </c>
      <c r="B14" s="32">
        <f>4+C14-D14-2</f>
        <v>1</v>
      </c>
      <c r="C14" s="31">
        <f>1+2+2</f>
        <v>5</v>
      </c>
      <c r="D14" s="59">
        <f>0+1+1+1+1+2</f>
        <v>6</v>
      </c>
      <c r="E14" s="66" t="s">
        <v>93</v>
      </c>
      <c r="G14" s="81">
        <v>22</v>
      </c>
      <c r="H14" s="81">
        <v>23</v>
      </c>
    </row>
    <row r="15" spans="1:8">
      <c r="A15" s="5" t="s">
        <v>12</v>
      </c>
      <c r="B15" s="32">
        <f>3+C15-D15+1-1</f>
        <v>2</v>
      </c>
      <c r="C15" s="31">
        <f>2+1+4+1</f>
        <v>8</v>
      </c>
      <c r="D15" s="59">
        <f>1+2+2+1+1+1+1</f>
        <v>9</v>
      </c>
      <c r="E15" s="66" t="s">
        <v>93</v>
      </c>
      <c r="G15" s="81">
        <v>24</v>
      </c>
      <c r="H15" s="81">
        <v>25</v>
      </c>
    </row>
    <row r="16" spans="1:8">
      <c r="A16" s="5" t="s">
        <v>13</v>
      </c>
      <c r="B16" s="32">
        <f>4+C16-D16-1</f>
        <v>3</v>
      </c>
      <c r="C16" s="31">
        <f>1+1+2+1</f>
        <v>5</v>
      </c>
      <c r="D16" s="59">
        <f>1+1+2+1</f>
        <v>5</v>
      </c>
      <c r="E16" s="66" t="s">
        <v>93</v>
      </c>
      <c r="G16" s="81">
        <v>26</v>
      </c>
      <c r="H16" s="81">
        <v>27</v>
      </c>
    </row>
    <row r="17" spans="1:8">
      <c r="A17" s="5" t="s">
        <v>14</v>
      </c>
      <c r="B17" s="32">
        <f>5+C17-D17</f>
        <v>3</v>
      </c>
      <c r="C17" s="31">
        <f>0+1+3</f>
        <v>4</v>
      </c>
      <c r="D17" s="59">
        <f>0+1+1+3+1</f>
        <v>6</v>
      </c>
      <c r="E17" s="66" t="s">
        <v>93</v>
      </c>
      <c r="G17" s="81">
        <v>28</v>
      </c>
      <c r="H17" s="81">
        <v>29</v>
      </c>
    </row>
    <row r="18" spans="1:8">
      <c r="A18" s="5" t="s">
        <v>15</v>
      </c>
      <c r="B18" s="32">
        <f>4+C18-D18</f>
        <v>3</v>
      </c>
      <c r="C18" s="31">
        <f>0+1+2+3+1+1</f>
        <v>8</v>
      </c>
      <c r="D18" s="59">
        <f>1+1+1+1+2+1+2</f>
        <v>9</v>
      </c>
      <c r="E18" s="66" t="s">
        <v>93</v>
      </c>
      <c r="G18" s="81">
        <v>30</v>
      </c>
      <c r="H18" s="81">
        <v>31</v>
      </c>
    </row>
    <row r="19" spans="1:8" ht="15" thickBot="1">
      <c r="A19" s="6" t="s">
        <v>16</v>
      </c>
      <c r="B19" s="32">
        <f>4+C19-D19+1</f>
        <v>3</v>
      </c>
      <c r="C19" s="31">
        <f>0+1+2+1+1</f>
        <v>5</v>
      </c>
      <c r="D19" s="59">
        <f>0+1+1+2+1+2</f>
        <v>7</v>
      </c>
      <c r="E19" s="66" t="s">
        <v>93</v>
      </c>
      <c r="G19" s="81">
        <v>32</v>
      </c>
      <c r="H19" s="81">
        <v>33</v>
      </c>
    </row>
    <row r="20" spans="1:8" ht="15" thickBot="1">
      <c r="A20" s="76"/>
      <c r="B20" s="77"/>
      <c r="C20" s="77"/>
      <c r="D20" s="77"/>
      <c r="E20" s="78"/>
    </row>
    <row r="21" spans="1:8">
      <c r="A21" s="75" t="s">
        <v>115</v>
      </c>
      <c r="B21" s="32">
        <f t="shared" ref="B21:B36" si="0">C21-D21</f>
        <v>0</v>
      </c>
      <c r="C21" s="31">
        <v>0</v>
      </c>
      <c r="D21" s="59">
        <v>0</v>
      </c>
      <c r="E21" s="66" t="s">
        <v>93</v>
      </c>
      <c r="G21" s="81">
        <v>34</v>
      </c>
      <c r="H21" s="81">
        <v>35</v>
      </c>
    </row>
    <row r="22" spans="1:8">
      <c r="A22" s="75" t="s">
        <v>116</v>
      </c>
      <c r="B22" s="32">
        <f t="shared" si="0"/>
        <v>1</v>
      </c>
      <c r="C22" s="31">
        <v>2</v>
      </c>
      <c r="D22" s="59">
        <f>1</f>
        <v>1</v>
      </c>
      <c r="E22" s="66" t="s">
        <v>93</v>
      </c>
      <c r="G22" s="81">
        <v>36</v>
      </c>
      <c r="H22" s="81">
        <v>37</v>
      </c>
    </row>
    <row r="23" spans="1:8">
      <c r="A23" s="75" t="s">
        <v>117</v>
      </c>
      <c r="B23" s="32">
        <f t="shared" si="0"/>
        <v>0</v>
      </c>
      <c r="C23" s="31">
        <v>0</v>
      </c>
      <c r="D23" s="59">
        <v>0</v>
      </c>
      <c r="E23" s="66" t="s">
        <v>93</v>
      </c>
      <c r="G23" s="81">
        <v>38</v>
      </c>
      <c r="H23" s="81">
        <v>39</v>
      </c>
    </row>
    <row r="24" spans="1:8">
      <c r="A24" s="75" t="s">
        <v>118</v>
      </c>
      <c r="B24" s="32">
        <f t="shared" si="0"/>
        <v>0</v>
      </c>
      <c r="C24" s="31">
        <v>0</v>
      </c>
      <c r="D24" s="59">
        <v>0</v>
      </c>
      <c r="E24" s="66" t="s">
        <v>93</v>
      </c>
      <c r="G24" s="81">
        <v>40</v>
      </c>
      <c r="H24" s="81">
        <v>41</v>
      </c>
    </row>
    <row r="25" spans="1:8">
      <c r="A25" s="75" t="s">
        <v>119</v>
      </c>
      <c r="B25" s="32">
        <f t="shared" si="0"/>
        <v>0</v>
      </c>
      <c r="C25" s="31">
        <v>0</v>
      </c>
      <c r="D25" s="59">
        <v>0</v>
      </c>
      <c r="E25" s="66" t="s">
        <v>93</v>
      </c>
      <c r="G25" s="81">
        <v>42</v>
      </c>
      <c r="H25" s="81">
        <v>43</v>
      </c>
    </row>
    <row r="26" spans="1:8">
      <c r="A26" s="75" t="s">
        <v>120</v>
      </c>
      <c r="B26" s="32">
        <f t="shared" si="0"/>
        <v>0</v>
      </c>
      <c r="C26" s="31">
        <v>0</v>
      </c>
      <c r="D26" s="59">
        <v>0</v>
      </c>
      <c r="E26" s="66" t="s">
        <v>93</v>
      </c>
      <c r="G26" s="81">
        <v>44</v>
      </c>
      <c r="H26" s="81">
        <v>45</v>
      </c>
    </row>
    <row r="27" spans="1:8">
      <c r="A27" s="75" t="s">
        <v>121</v>
      </c>
      <c r="B27" s="32">
        <f t="shared" si="0"/>
        <v>0</v>
      </c>
      <c r="C27" s="31">
        <v>0</v>
      </c>
      <c r="D27" s="59">
        <v>0</v>
      </c>
      <c r="E27" s="66" t="s">
        <v>93</v>
      </c>
      <c r="G27" s="81">
        <v>46</v>
      </c>
      <c r="H27" s="81">
        <v>47</v>
      </c>
    </row>
    <row r="28" spans="1:8">
      <c r="A28" s="75" t="s">
        <v>122</v>
      </c>
      <c r="B28" s="32">
        <f t="shared" si="0"/>
        <v>0</v>
      </c>
      <c r="C28" s="31">
        <v>0</v>
      </c>
      <c r="D28" s="59">
        <v>0</v>
      </c>
      <c r="E28" s="66" t="s">
        <v>93</v>
      </c>
      <c r="G28" s="81">
        <v>48</v>
      </c>
      <c r="H28" s="81">
        <v>49</v>
      </c>
    </row>
    <row r="29" spans="1:8">
      <c r="A29" s="75" t="s">
        <v>123</v>
      </c>
      <c r="B29" s="32">
        <f t="shared" si="0"/>
        <v>0</v>
      </c>
      <c r="C29" s="31">
        <v>0</v>
      </c>
      <c r="D29" s="59">
        <v>0</v>
      </c>
      <c r="E29" s="66" t="s">
        <v>93</v>
      </c>
      <c r="G29" s="81">
        <v>50</v>
      </c>
      <c r="H29" s="81">
        <v>51</v>
      </c>
    </row>
    <row r="30" spans="1:8">
      <c r="A30" s="75" t="s">
        <v>124</v>
      </c>
      <c r="B30" s="32">
        <f t="shared" si="0"/>
        <v>0</v>
      </c>
      <c r="C30" s="31">
        <v>0</v>
      </c>
      <c r="D30" s="59">
        <v>0</v>
      </c>
      <c r="E30" s="66" t="s">
        <v>93</v>
      </c>
      <c r="G30" s="81">
        <v>52</v>
      </c>
      <c r="H30" s="81">
        <v>53</v>
      </c>
    </row>
    <row r="31" spans="1:8">
      <c r="A31" s="75" t="s">
        <v>125</v>
      </c>
      <c r="B31" s="32">
        <f t="shared" si="0"/>
        <v>0</v>
      </c>
      <c r="C31" s="31">
        <v>0</v>
      </c>
      <c r="D31" s="59">
        <v>0</v>
      </c>
      <c r="E31" s="66" t="s">
        <v>93</v>
      </c>
      <c r="G31" s="81">
        <v>54</v>
      </c>
      <c r="H31" s="81">
        <v>55</v>
      </c>
    </row>
    <row r="32" spans="1:8">
      <c r="A32" s="75" t="s">
        <v>126</v>
      </c>
      <c r="B32" s="32">
        <f t="shared" si="0"/>
        <v>0</v>
      </c>
      <c r="C32" s="31">
        <v>0</v>
      </c>
      <c r="D32" s="59">
        <v>0</v>
      </c>
      <c r="E32" s="66" t="s">
        <v>93</v>
      </c>
      <c r="G32" s="81">
        <v>56</v>
      </c>
      <c r="H32" s="81">
        <v>57</v>
      </c>
    </row>
    <row r="33" spans="1:8">
      <c r="A33" s="75" t="s">
        <v>127</v>
      </c>
      <c r="B33" s="32">
        <f t="shared" si="0"/>
        <v>0</v>
      </c>
      <c r="C33" s="31">
        <v>0</v>
      </c>
      <c r="D33" s="59">
        <v>0</v>
      </c>
      <c r="E33" s="66" t="s">
        <v>93</v>
      </c>
      <c r="G33" s="81">
        <v>58</v>
      </c>
      <c r="H33" s="81">
        <v>59</v>
      </c>
    </row>
    <row r="34" spans="1:8">
      <c r="A34" s="75" t="s">
        <v>128</v>
      </c>
      <c r="B34" s="32">
        <f t="shared" si="0"/>
        <v>0</v>
      </c>
      <c r="C34" s="31">
        <v>0</v>
      </c>
      <c r="D34" s="59">
        <v>0</v>
      </c>
      <c r="E34" s="66" t="s">
        <v>93</v>
      </c>
      <c r="G34" s="81">
        <v>60</v>
      </c>
      <c r="H34" s="81">
        <v>61</v>
      </c>
    </row>
    <row r="35" spans="1:8">
      <c r="A35" s="75" t="s">
        <v>129</v>
      </c>
      <c r="B35" s="32">
        <f t="shared" si="0"/>
        <v>0</v>
      </c>
      <c r="C35" s="31">
        <v>0</v>
      </c>
      <c r="D35" s="59">
        <v>0</v>
      </c>
      <c r="E35" s="66" t="s">
        <v>93</v>
      </c>
      <c r="G35" s="81">
        <v>62</v>
      </c>
      <c r="H35" s="81">
        <v>63</v>
      </c>
    </row>
    <row r="36" spans="1:8">
      <c r="A36" s="75" t="s">
        <v>130</v>
      </c>
      <c r="B36" s="32">
        <f t="shared" si="0"/>
        <v>0</v>
      </c>
      <c r="C36" s="31">
        <v>0</v>
      </c>
      <c r="D36" s="59">
        <v>0</v>
      </c>
      <c r="E36" s="66" t="s">
        <v>93</v>
      </c>
      <c r="G36" s="81">
        <v>64</v>
      </c>
      <c r="H36" s="81">
        <v>65</v>
      </c>
    </row>
    <row r="37" spans="1:8" ht="17.399999999999999" customHeight="1">
      <c r="A37" s="37"/>
      <c r="B37" s="39"/>
      <c r="C37" s="39"/>
      <c r="D37" s="61"/>
      <c r="E37" s="68"/>
    </row>
    <row r="38" spans="1:8" s="1" customFormat="1">
      <c r="A38" s="7" t="s">
        <v>17</v>
      </c>
      <c r="B38" s="32">
        <f>22+C38-D38+1-1</f>
        <v>15</v>
      </c>
      <c r="C38" s="31">
        <f>0+3</f>
        <v>3</v>
      </c>
      <c r="D38" s="59">
        <f>0+1+1+1+1+1+1+1+2+1</f>
        <v>10</v>
      </c>
      <c r="E38" s="66" t="s">
        <v>93</v>
      </c>
      <c r="F38" s="84"/>
      <c r="G38" s="59">
        <v>66</v>
      </c>
      <c r="H38" s="59">
        <v>67</v>
      </c>
    </row>
    <row r="39" spans="1:8" ht="27.75" customHeight="1">
      <c r="A39" s="5" t="s">
        <v>27</v>
      </c>
      <c r="B39" s="32">
        <f>19+C39-D39</f>
        <v>9</v>
      </c>
      <c r="C39" s="31">
        <f>1+6</f>
        <v>7</v>
      </c>
      <c r="D39" s="62">
        <f>0+1+1+1+2+1+1+1+2+1+2+1+1+2</f>
        <v>17</v>
      </c>
      <c r="E39" s="66" t="s">
        <v>93</v>
      </c>
      <c r="G39" s="62">
        <v>68</v>
      </c>
      <c r="H39" s="62">
        <v>69</v>
      </c>
    </row>
    <row r="40" spans="1:8" ht="25.5" customHeight="1">
      <c r="A40" s="5" t="s">
        <v>18</v>
      </c>
      <c r="B40" s="32">
        <f>15 +C40-D40</f>
        <v>15</v>
      </c>
      <c r="C40" s="31">
        <f>5+2+11</f>
        <v>18</v>
      </c>
      <c r="D40" s="62">
        <f>0+2+1+1+2+4+1+2+1+1+1+2</f>
        <v>18</v>
      </c>
      <c r="E40" s="66" t="s">
        <v>93</v>
      </c>
      <c r="G40" s="62">
        <v>70</v>
      </c>
      <c r="H40" s="62">
        <v>71</v>
      </c>
    </row>
    <row r="41" spans="1:8" ht="24.75" customHeight="1">
      <c r="A41" s="5" t="s">
        <v>19</v>
      </c>
      <c r="B41" s="32">
        <f>17+C41-D41-1</f>
        <v>17</v>
      </c>
      <c r="C41" s="31">
        <f>3+2+5</f>
        <v>10</v>
      </c>
      <c r="D41" s="62">
        <f>0+1+1+2+1+1+1+1+1</f>
        <v>9</v>
      </c>
      <c r="E41" s="66" t="s">
        <v>93</v>
      </c>
      <c r="G41" s="62">
        <v>72</v>
      </c>
      <c r="H41" s="62">
        <v>73</v>
      </c>
    </row>
    <row r="42" spans="1:8">
      <c r="A42" s="5" t="s">
        <v>20</v>
      </c>
      <c r="B42" s="32">
        <f>21+C42-D42+1</f>
        <v>17</v>
      </c>
      <c r="C42" s="31">
        <f>0+1</f>
        <v>1</v>
      </c>
      <c r="D42" s="62">
        <f>0+1+1+1+1+2</f>
        <v>6</v>
      </c>
      <c r="E42" s="66" t="s">
        <v>93</v>
      </c>
      <c r="G42" s="62">
        <v>74</v>
      </c>
      <c r="H42" s="62">
        <v>75</v>
      </c>
    </row>
    <row r="43" spans="1:8">
      <c r="A43" s="5" t="s">
        <v>21</v>
      </c>
      <c r="B43" s="32">
        <f>14+C43-D43</f>
        <v>7</v>
      </c>
      <c r="C43" s="31">
        <f>0+3+6</f>
        <v>9</v>
      </c>
      <c r="D43" s="62">
        <f>0+1+2+2+2+1+3+1+1+1+1+1</f>
        <v>16</v>
      </c>
      <c r="E43" s="66" t="s">
        <v>93</v>
      </c>
      <c r="G43" s="62">
        <v>76</v>
      </c>
      <c r="H43" s="62">
        <v>77</v>
      </c>
    </row>
    <row r="44" spans="1:8" ht="22.5" customHeight="1">
      <c r="A44" s="5" t="s">
        <v>22</v>
      </c>
      <c r="B44" s="32">
        <f>1+C44-D44-1</f>
        <v>5</v>
      </c>
      <c r="C44" s="31">
        <f>10+1+6+2</f>
        <v>19</v>
      </c>
      <c r="D44" s="62">
        <f>0+1+1+1+1+1+3+1+1+1+2+1</f>
        <v>14</v>
      </c>
      <c r="E44" s="66" t="s">
        <v>93</v>
      </c>
      <c r="G44" s="62">
        <v>78</v>
      </c>
      <c r="H44" s="62">
        <v>79</v>
      </c>
    </row>
    <row r="45" spans="1:8" ht="25.5" customHeight="1">
      <c r="A45" s="5" t="s">
        <v>23</v>
      </c>
      <c r="B45" s="32">
        <f>7+C45-D45</f>
        <v>5</v>
      </c>
      <c r="C45" s="31">
        <f>0+2+2+2+5+1</f>
        <v>12</v>
      </c>
      <c r="D45" s="62">
        <f>1+1+1+1+1+1+1+2+1+1+1+1+1</f>
        <v>14</v>
      </c>
      <c r="E45" s="66" t="s">
        <v>93</v>
      </c>
      <c r="G45" s="62">
        <v>80</v>
      </c>
      <c r="H45" s="62">
        <v>81</v>
      </c>
    </row>
    <row r="46" spans="1:8" ht="22.5" customHeight="1">
      <c r="A46" s="5" t="s">
        <v>24</v>
      </c>
      <c r="B46" s="32">
        <f>3+C46-D46</f>
        <v>5</v>
      </c>
      <c r="C46" s="31">
        <f>2+2+4</f>
        <v>8</v>
      </c>
      <c r="D46" s="62">
        <f>0+1+1+1+2+1</f>
        <v>6</v>
      </c>
      <c r="E46" s="66" t="s">
        <v>93</v>
      </c>
      <c r="G46" s="62">
        <v>82</v>
      </c>
      <c r="H46" s="62">
        <v>83</v>
      </c>
    </row>
    <row r="47" spans="1:8" ht="22.5" customHeight="1">
      <c r="A47" s="5" t="s">
        <v>25</v>
      </c>
      <c r="B47" s="32">
        <f>0+C47-D47-2+2</f>
        <v>5</v>
      </c>
      <c r="C47" s="31">
        <f>5+2+1+3</f>
        <v>11</v>
      </c>
      <c r="D47" s="62">
        <f>1+1+1+2+1</f>
        <v>6</v>
      </c>
      <c r="E47" s="66" t="s">
        <v>93</v>
      </c>
      <c r="G47" s="62">
        <v>84</v>
      </c>
      <c r="H47" s="62">
        <v>85</v>
      </c>
    </row>
    <row r="48" spans="1:8" ht="27" customHeight="1">
      <c r="A48" s="6" t="s">
        <v>26</v>
      </c>
      <c r="B48" s="32">
        <f>4+C48-D48-1</f>
        <v>3</v>
      </c>
      <c r="C48" s="31">
        <f>1+2+2+1+3+2</f>
        <v>11</v>
      </c>
      <c r="D48" s="62">
        <f>1+2+1+1+1+2+1+1+1</f>
        <v>11</v>
      </c>
      <c r="E48" s="66" t="s">
        <v>93</v>
      </c>
      <c r="G48" s="62">
        <v>86</v>
      </c>
      <c r="H48" s="62">
        <v>87</v>
      </c>
    </row>
    <row r="49" spans="1:8" ht="25.5" customHeight="1">
      <c r="A49" s="37"/>
      <c r="B49" s="39"/>
      <c r="C49" s="39"/>
      <c r="D49" s="61"/>
      <c r="E49" s="67"/>
    </row>
    <row r="50" spans="1:8">
      <c r="A50" s="40" t="s">
        <v>28</v>
      </c>
      <c r="B50" s="32">
        <f>14+C50-D50-2</f>
        <v>10</v>
      </c>
      <c r="C50" s="31">
        <f>0</f>
        <v>0</v>
      </c>
      <c r="D50" s="62">
        <f>0+1+1</f>
        <v>2</v>
      </c>
      <c r="E50" s="66" t="s">
        <v>93</v>
      </c>
      <c r="F50" s="83" t="s">
        <v>110</v>
      </c>
      <c r="G50" s="81">
        <v>88</v>
      </c>
      <c r="H50" s="81">
        <v>89</v>
      </c>
    </row>
    <row r="51" spans="1:8" ht="19.5" customHeight="1">
      <c r="A51" s="8" t="s">
        <v>29</v>
      </c>
      <c r="B51" s="32">
        <f>4+C51-D51</f>
        <v>3</v>
      </c>
      <c r="C51" s="31">
        <f>1</f>
        <v>1</v>
      </c>
      <c r="D51" s="62">
        <f>0+1+1</f>
        <v>2</v>
      </c>
      <c r="E51" s="66" t="s">
        <v>93</v>
      </c>
      <c r="G51" s="81">
        <v>90</v>
      </c>
      <c r="H51" s="81">
        <v>91</v>
      </c>
    </row>
    <row r="52" spans="1:8">
      <c r="A52" s="8" t="s">
        <v>30</v>
      </c>
      <c r="B52" s="32">
        <f>4+C52-D52-1</f>
        <v>3</v>
      </c>
      <c r="C52" s="31">
        <f>3+1+1</f>
        <v>5</v>
      </c>
      <c r="D52" s="62">
        <f>1+1+1+1+1</f>
        <v>5</v>
      </c>
      <c r="E52" s="66" t="s">
        <v>93</v>
      </c>
      <c r="G52" s="81">
        <v>92</v>
      </c>
      <c r="H52" s="81">
        <v>93</v>
      </c>
    </row>
    <row r="53" spans="1:8">
      <c r="A53" s="8" t="s">
        <v>33</v>
      </c>
      <c r="B53" s="32">
        <f>5+C53-D53</f>
        <v>5</v>
      </c>
      <c r="C53" s="31">
        <f>1+1</f>
        <v>2</v>
      </c>
      <c r="D53" s="62">
        <f>0+2</f>
        <v>2</v>
      </c>
      <c r="E53" s="66" t="s">
        <v>93</v>
      </c>
      <c r="G53" s="81">
        <v>94</v>
      </c>
      <c r="H53" s="81">
        <v>95</v>
      </c>
    </row>
    <row r="54" spans="1:8">
      <c r="A54" s="8" t="s">
        <v>32</v>
      </c>
      <c r="B54" s="32">
        <f>2+C54-D54</f>
        <v>2</v>
      </c>
      <c r="C54" s="31">
        <f>0</f>
        <v>0</v>
      </c>
      <c r="D54" s="62">
        <f>0</f>
        <v>0</v>
      </c>
      <c r="E54" s="66" t="s">
        <v>93</v>
      </c>
      <c r="G54" s="81">
        <v>96</v>
      </c>
      <c r="H54" s="81">
        <v>97</v>
      </c>
    </row>
    <row r="55" spans="1:8">
      <c r="A55" s="8" t="s">
        <v>31</v>
      </c>
      <c r="B55" s="32">
        <f>3+C55-D55-2</f>
        <v>4</v>
      </c>
      <c r="C55" s="31">
        <f>0+3+4</f>
        <v>7</v>
      </c>
      <c r="D55" s="62">
        <f>0+1+1+1+1</f>
        <v>4</v>
      </c>
      <c r="E55" s="66" t="s">
        <v>93</v>
      </c>
      <c r="G55" s="81">
        <v>98</v>
      </c>
      <c r="H55" s="81">
        <v>99</v>
      </c>
    </row>
    <row r="56" spans="1:8">
      <c r="A56" s="8" t="s">
        <v>35</v>
      </c>
      <c r="B56" s="32">
        <f>4+C56-D56</f>
        <v>4</v>
      </c>
      <c r="C56" s="31">
        <f>0</f>
        <v>0</v>
      </c>
      <c r="D56" s="62">
        <f>0</f>
        <v>0</v>
      </c>
      <c r="E56" s="66" t="s">
        <v>93</v>
      </c>
      <c r="G56" s="81">
        <v>100</v>
      </c>
      <c r="H56" s="81">
        <v>101</v>
      </c>
    </row>
    <row r="57" spans="1:8">
      <c r="A57" s="8" t="s">
        <v>34</v>
      </c>
      <c r="B57" s="32">
        <f>5+C57-D57</f>
        <v>4</v>
      </c>
      <c r="C57" s="31">
        <f>0</f>
        <v>0</v>
      </c>
      <c r="D57" s="62">
        <f>0+1</f>
        <v>1</v>
      </c>
      <c r="E57" s="66" t="s">
        <v>93</v>
      </c>
      <c r="G57" s="81">
        <v>102</v>
      </c>
      <c r="H57" s="81">
        <v>103</v>
      </c>
    </row>
    <row r="58" spans="1:8">
      <c r="A58" s="8" t="s">
        <v>36</v>
      </c>
      <c r="B58" s="32">
        <f>4+C58-D58</f>
        <v>4</v>
      </c>
      <c r="C58" s="31">
        <f>0</f>
        <v>0</v>
      </c>
      <c r="D58" s="62">
        <f>0</f>
        <v>0</v>
      </c>
      <c r="E58" s="66" t="s">
        <v>93</v>
      </c>
      <c r="G58" s="81">
        <v>104</v>
      </c>
      <c r="H58" s="81">
        <v>105</v>
      </c>
    </row>
    <row r="59" spans="1:8" ht="14.55" customHeight="1">
      <c r="A59" s="8" t="s">
        <v>37</v>
      </c>
      <c r="B59" s="32">
        <f>3+C59-D59</f>
        <v>2</v>
      </c>
      <c r="C59" s="31">
        <f>0</f>
        <v>0</v>
      </c>
      <c r="D59" s="62">
        <f>0+1</f>
        <v>1</v>
      </c>
      <c r="E59" s="66" t="s">
        <v>93</v>
      </c>
      <c r="G59" s="81">
        <v>106</v>
      </c>
      <c r="H59" s="81">
        <v>107</v>
      </c>
    </row>
    <row r="60" spans="1:8">
      <c r="A60" s="8" t="s">
        <v>38</v>
      </c>
      <c r="B60" s="32">
        <f>3+C60-D60</f>
        <v>3</v>
      </c>
      <c r="C60" s="31">
        <f>0</f>
        <v>0</v>
      </c>
      <c r="D60" s="62">
        <f>0</f>
        <v>0</v>
      </c>
      <c r="E60" s="66" t="s">
        <v>93</v>
      </c>
      <c r="G60" s="81">
        <v>108</v>
      </c>
      <c r="H60" s="81">
        <v>109</v>
      </c>
    </row>
    <row r="61" spans="1:8">
      <c r="A61" s="8" t="s">
        <v>39</v>
      </c>
      <c r="B61" s="32">
        <f>3+C61-D61-1</f>
        <v>2</v>
      </c>
      <c r="C61" s="31">
        <f>0+2</f>
        <v>2</v>
      </c>
      <c r="D61" s="62">
        <f>0+1+1</f>
        <v>2</v>
      </c>
      <c r="E61" s="66" t="s">
        <v>93</v>
      </c>
      <c r="G61" s="81">
        <v>110</v>
      </c>
      <c r="H61" s="81">
        <v>111</v>
      </c>
    </row>
    <row r="62" spans="1:8">
      <c r="A62" s="8" t="s">
        <v>40</v>
      </c>
      <c r="B62" s="32">
        <f>3+C62-D62</f>
        <v>2</v>
      </c>
      <c r="C62" s="31">
        <f>0</f>
        <v>0</v>
      </c>
      <c r="D62" s="62">
        <f>0+1</f>
        <v>1</v>
      </c>
      <c r="E62" s="66" t="s">
        <v>93</v>
      </c>
      <c r="G62" s="81">
        <v>112</v>
      </c>
      <c r="H62" s="81">
        <v>113</v>
      </c>
    </row>
    <row r="63" spans="1:8">
      <c r="A63" s="8" t="s">
        <v>41</v>
      </c>
      <c r="B63" s="32">
        <f>3+C63-D63+1</f>
        <v>4</v>
      </c>
      <c r="C63" s="31">
        <f>0+1</f>
        <v>1</v>
      </c>
      <c r="D63" s="62">
        <f>0+1</f>
        <v>1</v>
      </c>
      <c r="E63" s="66" t="s">
        <v>93</v>
      </c>
      <c r="G63" s="81">
        <v>114</v>
      </c>
      <c r="H63" s="81">
        <v>115</v>
      </c>
    </row>
    <row r="64" spans="1:8">
      <c r="A64" s="8" t="s">
        <v>42</v>
      </c>
      <c r="B64" s="32">
        <f>2+C64-D64</f>
        <v>2</v>
      </c>
      <c r="C64" s="31">
        <f>0</f>
        <v>0</v>
      </c>
      <c r="D64" s="62">
        <f>0</f>
        <v>0</v>
      </c>
      <c r="E64" s="66" t="s">
        <v>93</v>
      </c>
      <c r="G64" s="81">
        <v>116</v>
      </c>
      <c r="H64" s="81">
        <v>117</v>
      </c>
    </row>
    <row r="65" spans="1:8">
      <c r="A65" s="8" t="s">
        <v>43</v>
      </c>
      <c r="B65" s="32">
        <f>2+C65-D65</f>
        <v>2</v>
      </c>
      <c r="C65" s="31">
        <f>0+2+1</f>
        <v>3</v>
      </c>
      <c r="D65" s="62">
        <f>0+2+1</f>
        <v>3</v>
      </c>
      <c r="E65" s="66" t="s">
        <v>93</v>
      </c>
      <c r="G65" s="81">
        <v>118</v>
      </c>
      <c r="H65" s="81">
        <v>119</v>
      </c>
    </row>
    <row r="66" spans="1:8">
      <c r="A66" s="41" t="s">
        <v>44</v>
      </c>
      <c r="B66" s="32">
        <f>2+C66-D66</f>
        <v>3</v>
      </c>
      <c r="C66" s="31">
        <f>0+1+1</f>
        <v>2</v>
      </c>
      <c r="D66" s="62">
        <f>0+1</f>
        <v>1</v>
      </c>
      <c r="E66" s="66" t="s">
        <v>93</v>
      </c>
      <c r="G66" s="81">
        <v>120</v>
      </c>
      <c r="H66" s="81">
        <v>121</v>
      </c>
    </row>
    <row r="67" spans="1:8">
      <c r="A67" s="37"/>
      <c r="B67" s="39"/>
      <c r="C67" s="39"/>
      <c r="D67" s="61"/>
      <c r="E67" s="67"/>
    </row>
    <row r="68" spans="1:8">
      <c r="A68" s="42" t="s">
        <v>45</v>
      </c>
      <c r="B68" s="32">
        <f>3+C68-D68+1</f>
        <v>4</v>
      </c>
      <c r="C68" s="31">
        <f>0+1</f>
        <v>1</v>
      </c>
      <c r="D68" s="59">
        <f>0+1</f>
        <v>1</v>
      </c>
      <c r="E68" s="66" t="s">
        <v>93</v>
      </c>
      <c r="G68" s="81">
        <v>122</v>
      </c>
      <c r="H68" s="81">
        <v>123</v>
      </c>
    </row>
    <row r="69" spans="1:8" ht="19.5" customHeight="1">
      <c r="A69" s="9" t="s">
        <v>46</v>
      </c>
      <c r="B69" s="32">
        <f>3+C69-D69-1</f>
        <v>5</v>
      </c>
      <c r="C69" s="31">
        <f>0+3+4</f>
        <v>7</v>
      </c>
      <c r="D69" s="59">
        <f>0+1+1+1+1</f>
        <v>4</v>
      </c>
      <c r="E69" s="66" t="s">
        <v>93</v>
      </c>
      <c r="F69" s="83" t="s">
        <v>112</v>
      </c>
      <c r="G69" s="81">
        <v>124</v>
      </c>
      <c r="H69" s="81">
        <v>125</v>
      </c>
    </row>
    <row r="70" spans="1:8" ht="20.25" customHeight="1">
      <c r="A70" s="9" t="s">
        <v>47</v>
      </c>
      <c r="B70" s="32">
        <f>4+C70-D70+1</f>
        <v>5</v>
      </c>
      <c r="C70" s="31">
        <f>0+1+2</f>
        <v>3</v>
      </c>
      <c r="D70" s="59">
        <f>0+1+1+1</f>
        <v>3</v>
      </c>
      <c r="E70" s="66" t="s">
        <v>93</v>
      </c>
      <c r="G70" s="81">
        <v>126</v>
      </c>
      <c r="H70" s="81">
        <v>127</v>
      </c>
    </row>
    <row r="71" spans="1:8" ht="19.5" customHeight="1">
      <c r="A71" s="9" t="s">
        <v>48</v>
      </c>
      <c r="B71" s="32">
        <f>6+C71-D71</f>
        <v>4</v>
      </c>
      <c r="C71" s="31">
        <f>0</f>
        <v>0</v>
      </c>
      <c r="D71" s="59">
        <f>0+1+1</f>
        <v>2</v>
      </c>
      <c r="E71" s="66" t="s">
        <v>93</v>
      </c>
      <c r="G71" s="81">
        <v>128</v>
      </c>
      <c r="H71" s="81">
        <v>129</v>
      </c>
    </row>
    <row r="72" spans="1:8" ht="21.75" customHeight="1">
      <c r="A72" s="9" t="s">
        <v>49</v>
      </c>
      <c r="B72" s="32">
        <f>2+C72-D72</f>
        <v>3</v>
      </c>
      <c r="C72" s="31">
        <f>0+1</f>
        <v>1</v>
      </c>
      <c r="D72" s="59">
        <f>0</f>
        <v>0</v>
      </c>
      <c r="E72" s="66" t="s">
        <v>93</v>
      </c>
      <c r="G72" s="81">
        <v>130</v>
      </c>
      <c r="H72" s="81">
        <v>131</v>
      </c>
    </row>
    <row r="73" spans="1:8" ht="16.5" customHeight="1">
      <c r="A73" s="9" t="s">
        <v>50</v>
      </c>
      <c r="B73" s="32">
        <f>2+C73-D73</f>
        <v>2</v>
      </c>
      <c r="C73" s="31">
        <f>0+1</f>
        <v>1</v>
      </c>
      <c r="D73" s="59">
        <f>0+1</f>
        <v>1</v>
      </c>
      <c r="E73" s="66" t="s">
        <v>93</v>
      </c>
      <c r="G73" s="81">
        <v>132</v>
      </c>
      <c r="H73" s="81">
        <v>133</v>
      </c>
    </row>
    <row r="74" spans="1:8" ht="20.25" customHeight="1">
      <c r="A74" s="9" t="s">
        <v>51</v>
      </c>
      <c r="B74" s="32">
        <f>2+C74-D74+1</f>
        <v>3</v>
      </c>
      <c r="C74" s="31">
        <f>0+1+2</f>
        <v>3</v>
      </c>
      <c r="D74" s="59">
        <f>0+1+1+1</f>
        <v>3</v>
      </c>
      <c r="E74" s="66" t="s">
        <v>93</v>
      </c>
      <c r="G74" s="81">
        <v>134</v>
      </c>
      <c r="H74" s="81">
        <v>135</v>
      </c>
    </row>
    <row r="75" spans="1:8" ht="21" customHeight="1">
      <c r="A75" s="9" t="s">
        <v>52</v>
      </c>
      <c r="B75" s="32">
        <f>4+C75-D75</f>
        <v>2</v>
      </c>
      <c r="C75" s="31">
        <f>0</f>
        <v>0</v>
      </c>
      <c r="D75" s="59">
        <f>0+2</f>
        <v>2</v>
      </c>
      <c r="E75" s="66" t="s">
        <v>93</v>
      </c>
      <c r="G75" s="81">
        <v>136</v>
      </c>
      <c r="H75" s="81">
        <v>137</v>
      </c>
    </row>
    <row r="76" spans="1:8" ht="24.75" customHeight="1">
      <c r="A76" s="9" t="s">
        <v>53</v>
      </c>
      <c r="B76" s="32">
        <f>5+C76-D76</f>
        <v>4</v>
      </c>
      <c r="C76" s="31">
        <f>0</f>
        <v>0</v>
      </c>
      <c r="D76" s="59">
        <f>0+1</f>
        <v>1</v>
      </c>
      <c r="E76" s="66" t="s">
        <v>93</v>
      </c>
      <c r="G76" s="81">
        <v>138</v>
      </c>
      <c r="H76" s="81">
        <v>139</v>
      </c>
    </row>
    <row r="77" spans="1:8" ht="23.25" customHeight="1">
      <c r="A77" s="9" t="s">
        <v>54</v>
      </c>
      <c r="B77" s="32">
        <f>5+C77-D77</f>
        <v>4</v>
      </c>
      <c r="C77" s="31">
        <f>0</f>
        <v>0</v>
      </c>
      <c r="D77" s="59">
        <f>0+1</f>
        <v>1</v>
      </c>
      <c r="E77" s="66" t="s">
        <v>93</v>
      </c>
      <c r="G77" s="81">
        <v>140</v>
      </c>
      <c r="H77" s="81">
        <v>141</v>
      </c>
    </row>
    <row r="78" spans="1:8" ht="21.75" customHeight="1">
      <c r="A78" s="9" t="s">
        <v>55</v>
      </c>
      <c r="B78" s="32">
        <f>4+C78-D78</f>
        <v>2</v>
      </c>
      <c r="C78" s="31">
        <f>0</f>
        <v>0</v>
      </c>
      <c r="D78" s="59">
        <f>0+2</f>
        <v>2</v>
      </c>
      <c r="E78" s="66" t="s">
        <v>93</v>
      </c>
      <c r="G78" s="81">
        <v>142</v>
      </c>
      <c r="H78" s="81">
        <v>143</v>
      </c>
    </row>
    <row r="79" spans="1:8" ht="22.5" customHeight="1">
      <c r="A79" s="9" t="s">
        <v>56</v>
      </c>
      <c r="B79" s="32">
        <f>4+C79-D79</f>
        <v>4</v>
      </c>
      <c r="C79" s="31">
        <f>0</f>
        <v>0</v>
      </c>
      <c r="D79" s="59">
        <f>0</f>
        <v>0</v>
      </c>
      <c r="E79" s="66" t="s">
        <v>93</v>
      </c>
      <c r="G79" s="81">
        <v>144</v>
      </c>
      <c r="H79" s="81">
        <v>145</v>
      </c>
    </row>
    <row r="80" spans="1:8" ht="21.75" customHeight="1">
      <c r="A80" s="43" t="s">
        <v>57</v>
      </c>
      <c r="B80" s="32">
        <f>4+C80-D80</f>
        <v>2</v>
      </c>
      <c r="C80" s="31">
        <f>0</f>
        <v>0</v>
      </c>
      <c r="D80" s="59">
        <f>0+2</f>
        <v>2</v>
      </c>
      <c r="E80" s="66" t="s">
        <v>93</v>
      </c>
      <c r="G80" s="81">
        <v>146</v>
      </c>
      <c r="H80" s="81">
        <v>147</v>
      </c>
    </row>
    <row r="81" spans="1:8" ht="23.25" customHeight="1">
      <c r="A81" s="37"/>
      <c r="B81" s="39"/>
      <c r="C81" s="39"/>
      <c r="D81" s="61"/>
      <c r="E81" s="67"/>
    </row>
    <row r="82" spans="1:8">
      <c r="A82" s="42" t="s">
        <v>58</v>
      </c>
      <c r="B82" s="32">
        <f>2+C82-D82</f>
        <v>2</v>
      </c>
      <c r="C82" s="31">
        <f>0</f>
        <v>0</v>
      </c>
      <c r="D82" s="59">
        <f>0</f>
        <v>0</v>
      </c>
      <c r="E82" s="66" t="s">
        <v>93</v>
      </c>
      <c r="G82" s="81">
        <v>148</v>
      </c>
      <c r="H82" s="81">
        <v>149</v>
      </c>
    </row>
    <row r="83" spans="1:8" ht="18" customHeight="1">
      <c r="A83" s="9" t="s">
        <v>60</v>
      </c>
      <c r="B83" s="32">
        <f>2+C83-D83</f>
        <v>0</v>
      </c>
      <c r="C83" s="31">
        <f>0</f>
        <v>0</v>
      </c>
      <c r="D83" s="59">
        <f>0+1+1</f>
        <v>2</v>
      </c>
      <c r="E83" s="66" t="s">
        <v>93</v>
      </c>
      <c r="G83" s="81">
        <v>150</v>
      </c>
      <c r="H83" s="81">
        <v>151</v>
      </c>
    </row>
    <row r="84" spans="1:8" ht="15.75" customHeight="1">
      <c r="A84" s="9" t="s">
        <v>59</v>
      </c>
      <c r="B84" s="32">
        <f>3+C84-D84</f>
        <v>2</v>
      </c>
      <c r="C84" s="31">
        <f>0</f>
        <v>0</v>
      </c>
      <c r="D84" s="59">
        <f>0+1</f>
        <v>1</v>
      </c>
      <c r="E84" s="66" t="s">
        <v>93</v>
      </c>
      <c r="G84" s="81">
        <v>152</v>
      </c>
      <c r="H84" s="81">
        <v>153</v>
      </c>
    </row>
    <row r="85" spans="1:8" ht="17.25" customHeight="1">
      <c r="A85" s="9" t="s">
        <v>61</v>
      </c>
      <c r="B85" s="32">
        <f>3+C85-D85-1</f>
        <v>0</v>
      </c>
      <c r="C85" s="31">
        <f>0+2+4</f>
        <v>6</v>
      </c>
      <c r="D85" s="59">
        <f>0+1+1+4+2</f>
        <v>8</v>
      </c>
      <c r="E85" s="66" t="s">
        <v>93</v>
      </c>
      <c r="G85" s="81">
        <v>154</v>
      </c>
      <c r="H85" s="81">
        <v>155</v>
      </c>
    </row>
    <row r="86" spans="1:8" ht="17.25" customHeight="1">
      <c r="A86" s="9" t="s">
        <v>62</v>
      </c>
      <c r="B86" s="32">
        <f>2+C86-D86-1</f>
        <v>2</v>
      </c>
      <c r="C86" s="31">
        <f>0+1</f>
        <v>1</v>
      </c>
      <c r="D86" s="59">
        <f>0</f>
        <v>0</v>
      </c>
      <c r="E86" s="66" t="s">
        <v>93</v>
      </c>
      <c r="G86" s="81">
        <v>156</v>
      </c>
      <c r="H86" s="81">
        <v>157</v>
      </c>
    </row>
    <row r="87" spans="1:8">
      <c r="A87" s="9" t="s">
        <v>63</v>
      </c>
      <c r="B87" s="32">
        <f>2+C87-D87</f>
        <v>2</v>
      </c>
      <c r="C87" s="31">
        <f>1</f>
        <v>1</v>
      </c>
      <c r="D87" s="59">
        <f>0+1</f>
        <v>1</v>
      </c>
      <c r="E87" s="66" t="s">
        <v>93</v>
      </c>
      <c r="G87" s="81">
        <v>158</v>
      </c>
      <c r="H87" s="81">
        <v>159</v>
      </c>
    </row>
    <row r="88" spans="1:8" ht="18" customHeight="1">
      <c r="A88" s="9" t="s">
        <v>64</v>
      </c>
      <c r="B88" s="31">
        <f>0+C88-D88+1</f>
        <v>1</v>
      </c>
      <c r="C88" s="31">
        <f>2</f>
        <v>2</v>
      </c>
      <c r="D88" s="59">
        <f>0+1+1</f>
        <v>2</v>
      </c>
      <c r="E88" s="66" t="s">
        <v>93</v>
      </c>
      <c r="F88" s="83" t="s">
        <v>133</v>
      </c>
      <c r="G88" s="81">
        <v>160</v>
      </c>
      <c r="H88" s="81">
        <v>161</v>
      </c>
    </row>
    <row r="89" spans="1:8" ht="15.75" customHeight="1">
      <c r="A89" s="9" t="s">
        <v>65</v>
      </c>
      <c r="B89" s="32">
        <f>2+C89-D89</f>
        <v>2</v>
      </c>
      <c r="C89" s="31">
        <f>0+2+4</f>
        <v>6</v>
      </c>
      <c r="D89" s="59">
        <f>0+2+4</f>
        <v>6</v>
      </c>
      <c r="E89" s="66" t="s">
        <v>93</v>
      </c>
      <c r="G89" s="81">
        <v>162</v>
      </c>
      <c r="H89" s="81">
        <v>163</v>
      </c>
    </row>
    <row r="90" spans="1:8" ht="14.55" customHeight="1">
      <c r="A90" s="9" t="s">
        <v>66</v>
      </c>
      <c r="B90" s="31">
        <f>0+C90-D90+1</f>
        <v>2</v>
      </c>
      <c r="C90" s="31">
        <f>2+1</f>
        <v>3</v>
      </c>
      <c r="D90" s="59">
        <f>0+1+1</f>
        <v>2</v>
      </c>
      <c r="E90" s="66" t="s">
        <v>93</v>
      </c>
      <c r="G90" s="81">
        <v>164</v>
      </c>
      <c r="H90" s="81">
        <v>165</v>
      </c>
    </row>
    <row r="91" spans="1:8" ht="16.5" customHeight="1">
      <c r="A91" s="9" t="s">
        <v>67</v>
      </c>
      <c r="B91" s="32">
        <f>3+C91-D91</f>
        <v>0</v>
      </c>
      <c r="C91" s="31">
        <f>0+2</f>
        <v>2</v>
      </c>
      <c r="D91" s="59">
        <f>0+3+2</f>
        <v>5</v>
      </c>
      <c r="E91" s="66" t="s">
        <v>93</v>
      </c>
      <c r="G91" s="81">
        <v>166</v>
      </c>
      <c r="H91" s="81">
        <v>167</v>
      </c>
    </row>
    <row r="92" spans="1:8">
      <c r="A92" s="9" t="s">
        <v>72</v>
      </c>
      <c r="B92" s="32">
        <f>1+C92-D92-1</f>
        <v>1</v>
      </c>
      <c r="C92" s="31">
        <f>1+2+4</f>
        <v>7</v>
      </c>
      <c r="D92" s="59">
        <f>0+1+4+1</f>
        <v>6</v>
      </c>
      <c r="E92" s="66" t="s">
        <v>93</v>
      </c>
      <c r="G92" s="81">
        <v>168</v>
      </c>
      <c r="H92" s="81">
        <v>169</v>
      </c>
    </row>
    <row r="93" spans="1:8">
      <c r="A93" s="9" t="s">
        <v>68</v>
      </c>
      <c r="B93" s="32">
        <f>2+C93-D93</f>
        <v>1</v>
      </c>
      <c r="C93" s="31">
        <f>0+1</f>
        <v>1</v>
      </c>
      <c r="D93" s="59">
        <f>0+1+1</f>
        <v>2</v>
      </c>
      <c r="E93" s="66" t="s">
        <v>93</v>
      </c>
      <c r="G93" s="81">
        <v>170</v>
      </c>
      <c r="H93" s="81">
        <v>171</v>
      </c>
    </row>
    <row r="94" spans="1:8">
      <c r="A94" s="9" t="s">
        <v>69</v>
      </c>
      <c r="B94" s="32">
        <f>2+C94-D94</f>
        <v>0</v>
      </c>
      <c r="C94" s="31">
        <f>0+2</f>
        <v>2</v>
      </c>
      <c r="D94" s="59">
        <f>0+1+1+2</f>
        <v>4</v>
      </c>
      <c r="E94" s="66" t="s">
        <v>93</v>
      </c>
      <c r="G94" s="81">
        <v>172</v>
      </c>
      <c r="H94" s="81">
        <v>173</v>
      </c>
    </row>
    <row r="95" spans="1:8">
      <c r="A95" s="9" t="s">
        <v>70</v>
      </c>
      <c r="B95" s="32">
        <f>1+C95-D95</f>
        <v>2</v>
      </c>
      <c r="C95" s="31">
        <f>1+2</f>
        <v>3</v>
      </c>
      <c r="D95" s="59">
        <f>0+2</f>
        <v>2</v>
      </c>
      <c r="E95" s="66" t="s">
        <v>93</v>
      </c>
      <c r="G95" s="81">
        <v>174</v>
      </c>
      <c r="H95" s="81">
        <v>175</v>
      </c>
    </row>
    <row r="96" spans="1:8">
      <c r="A96" s="43" t="s">
        <v>71</v>
      </c>
      <c r="B96" s="32">
        <f>3+C96-D96</f>
        <v>0</v>
      </c>
      <c r="C96" s="31">
        <f>0+6</f>
        <v>6</v>
      </c>
      <c r="D96" s="59">
        <f>0+1+6+2</f>
        <v>9</v>
      </c>
      <c r="E96" s="66" t="s">
        <v>93</v>
      </c>
      <c r="G96" s="81">
        <v>176</v>
      </c>
      <c r="H96" s="81">
        <v>177</v>
      </c>
    </row>
    <row r="97" spans="1:8" ht="14.4" customHeight="1">
      <c r="A97" s="46"/>
      <c r="B97" s="39"/>
      <c r="C97" s="39"/>
      <c r="D97" s="61"/>
      <c r="E97" s="67"/>
    </row>
    <row r="98" spans="1:8" ht="14.4" customHeight="1">
      <c r="A98" s="44" t="s">
        <v>73</v>
      </c>
      <c r="B98" s="31">
        <f xml:space="preserve"> 100+100+71+C98-D98</f>
        <v>409.25</v>
      </c>
      <c r="C98" s="31">
        <f>0+200+500+400+400</f>
        <v>1500</v>
      </c>
      <c r="D98" s="59">
        <f>0+17.25+9+3+100+100+62+100+100+100+100+100+100+100+100+100+1.5+100+19+30+15+5</f>
        <v>1361.75</v>
      </c>
      <c r="E98" s="64">
        <v>375</v>
      </c>
      <c r="G98" s="81">
        <v>178</v>
      </c>
      <c r="H98" s="81">
        <v>179</v>
      </c>
    </row>
    <row r="99" spans="1:8" ht="14.4" customHeight="1">
      <c r="A99" s="10" t="s">
        <v>74</v>
      </c>
      <c r="B99" s="31">
        <f xml:space="preserve"> 100+C99-D99</f>
        <v>174</v>
      </c>
      <c r="C99" s="31">
        <f>0+200</f>
        <v>200</v>
      </c>
      <c r="D99" s="59">
        <f>0+100+18+8</f>
        <v>126</v>
      </c>
      <c r="E99" s="64">
        <v>330</v>
      </c>
      <c r="G99" s="81">
        <v>180</v>
      </c>
      <c r="H99" s="81">
        <v>181</v>
      </c>
    </row>
    <row r="100" spans="1:8" ht="13.8" customHeight="1">
      <c r="A100" s="11" t="s">
        <v>75</v>
      </c>
      <c r="B100" s="31">
        <f>150+150+150+C100-D100</f>
        <v>139.5</v>
      </c>
      <c r="C100" s="31">
        <f>0</f>
        <v>0</v>
      </c>
      <c r="D100" s="59">
        <f>0+150+10.5+150</f>
        <v>310.5</v>
      </c>
      <c r="E100" s="64">
        <v>215</v>
      </c>
      <c r="G100" s="81">
        <v>182</v>
      </c>
      <c r="H100" s="81">
        <v>183</v>
      </c>
    </row>
    <row r="101" spans="1:8" ht="16.8" customHeight="1">
      <c r="A101" s="45" t="s">
        <v>76</v>
      </c>
      <c r="B101" s="31">
        <f xml:space="preserve"> 50+50+50+C101-D101-60</f>
        <v>5</v>
      </c>
      <c r="C101" s="31">
        <f>0+350+200</f>
        <v>550</v>
      </c>
      <c r="D101" s="59">
        <f>5+30+3+20+50+50+5+30+10+5+20+10+15+10+5+25+30+20+7+20+10+50+2+20+20+30+40+20+4+30+9+30</f>
        <v>635</v>
      </c>
      <c r="E101" s="64" t="s">
        <v>92</v>
      </c>
      <c r="F101" s="83" t="s">
        <v>134</v>
      </c>
      <c r="G101" s="81">
        <v>184</v>
      </c>
      <c r="H101" s="81">
        <v>185</v>
      </c>
    </row>
    <row r="102" spans="1:8" s="3" customFormat="1">
      <c r="A102" s="48"/>
      <c r="B102" s="39"/>
      <c r="C102" s="39"/>
      <c r="D102" s="61"/>
      <c r="E102" s="67"/>
      <c r="F102" s="85"/>
      <c r="G102" s="81"/>
      <c r="H102" s="81"/>
    </row>
    <row r="103" spans="1:8" s="3" customFormat="1">
      <c r="A103" s="47" t="s">
        <v>138</v>
      </c>
      <c r="B103" s="31">
        <f xml:space="preserve"> 7 - D103+C103+1</f>
        <v>19</v>
      </c>
      <c r="C103" s="31">
        <f>20+20+20+30+10+5+5</f>
        <v>110</v>
      </c>
      <c r="D103" s="59">
        <f>1+5+5+13+1+2+5+5+6+2+5+4+5+2+6+6+5+5+5+5+5+1</f>
        <v>99</v>
      </c>
      <c r="E103" s="64">
        <v>961</v>
      </c>
      <c r="F103" s="85"/>
      <c r="G103" s="81">
        <v>186</v>
      </c>
      <c r="H103" s="81">
        <v>187</v>
      </c>
    </row>
    <row r="104" spans="1:8" s="3" customFormat="1">
      <c r="A104" s="13" t="s">
        <v>139</v>
      </c>
      <c r="B104" s="31">
        <f>39+C104-D104-1</f>
        <v>23</v>
      </c>
      <c r="C104" s="31">
        <f>0+5+30+5+10</f>
        <v>50</v>
      </c>
      <c r="D104" s="59">
        <f>0+4+1+3+2+2+5+6+1+9+2+3+1+5+3+5+7+1+1+1+1+1+1</f>
        <v>65</v>
      </c>
      <c r="E104" s="64">
        <v>1090</v>
      </c>
      <c r="F104" s="85"/>
      <c r="G104" s="81">
        <v>188</v>
      </c>
      <c r="H104" s="81">
        <v>189</v>
      </c>
    </row>
    <row r="105" spans="1:8" s="3" customFormat="1">
      <c r="A105" s="12" t="s">
        <v>140</v>
      </c>
      <c r="B105" s="31">
        <f>55+2+C105-D105+2-5</f>
        <v>9</v>
      </c>
      <c r="C105" s="31">
        <f>0+25+5</f>
        <v>30</v>
      </c>
      <c r="D105" s="59">
        <f>1+7+2+1+2+5+2+1+1+2+1+6+1+1+1+1+1+2+1+1+1+1+1+10+3+5+1+1+1+5+6</f>
        <v>75</v>
      </c>
      <c r="E105" s="64">
        <v>2250</v>
      </c>
      <c r="F105" s="85"/>
      <c r="G105" s="81">
        <v>190</v>
      </c>
      <c r="H105" s="81">
        <v>191</v>
      </c>
    </row>
    <row r="106" spans="1:8" s="3" customFormat="1">
      <c r="A106" s="73" t="s">
        <v>113</v>
      </c>
      <c r="B106" s="31">
        <f>C106-D106</f>
        <v>12</v>
      </c>
      <c r="C106" s="31">
        <f>25+2+3+10</f>
        <v>40</v>
      </c>
      <c r="D106" s="59">
        <f>2+1+2+1+1+2+2+2+2+4+1+7+1</f>
        <v>28</v>
      </c>
      <c r="E106" s="64">
        <v>3300</v>
      </c>
      <c r="F106" s="85" t="s">
        <v>136</v>
      </c>
      <c r="G106" s="81">
        <v>192</v>
      </c>
      <c r="H106" s="81">
        <v>193</v>
      </c>
    </row>
    <row r="107" spans="1:8" s="3" customFormat="1">
      <c r="A107" s="73" t="s">
        <v>114</v>
      </c>
      <c r="B107" s="31">
        <f>C107-D107-2</f>
        <v>11</v>
      </c>
      <c r="C107" s="31">
        <f>10+4+5+5+4+10</f>
        <v>38</v>
      </c>
      <c r="D107" s="59">
        <f>1+2+1+2+1+1+1+1+2+1+3+5+2+1+1</f>
        <v>25</v>
      </c>
      <c r="E107" s="64">
        <v>2880</v>
      </c>
      <c r="F107" s="85"/>
      <c r="G107" s="81">
        <v>194</v>
      </c>
      <c r="H107" s="81">
        <v>195</v>
      </c>
    </row>
    <row r="108" spans="1:8" s="3" customFormat="1" ht="15.75" customHeight="1">
      <c r="A108" s="74" t="s">
        <v>141</v>
      </c>
      <c r="B108" s="31">
        <f>7+C108-D108</f>
        <v>4</v>
      </c>
      <c r="C108" s="31">
        <f>0</f>
        <v>0</v>
      </c>
      <c r="D108" s="59">
        <f>0+3</f>
        <v>3</v>
      </c>
      <c r="E108" s="64">
        <v>500</v>
      </c>
      <c r="F108" s="85"/>
      <c r="G108" s="81">
        <v>196</v>
      </c>
      <c r="H108" s="81">
        <v>197</v>
      </c>
    </row>
    <row r="109" spans="1:8" s="3" customFormat="1">
      <c r="A109" s="14" t="s">
        <v>142</v>
      </c>
      <c r="B109" s="31">
        <f>64+6+C109-D109-4</f>
        <v>72</v>
      </c>
      <c r="C109" s="31">
        <f>0+50+64</f>
        <v>114</v>
      </c>
      <c r="D109" s="59">
        <f>2+20+1+10+10+1+3+15+4+3+1+10+10+15+3</f>
        <v>108</v>
      </c>
      <c r="E109" s="64">
        <v>500</v>
      </c>
      <c r="F109" s="85"/>
      <c r="G109" s="81">
        <v>198</v>
      </c>
      <c r="H109" s="81">
        <v>199</v>
      </c>
    </row>
    <row r="110" spans="1:8" s="3" customFormat="1">
      <c r="A110" s="14" t="s">
        <v>77</v>
      </c>
      <c r="B110" s="31">
        <f>9+C110-D110</f>
        <v>9</v>
      </c>
      <c r="C110" s="31">
        <f>0</f>
        <v>0</v>
      </c>
      <c r="D110" s="59">
        <f>0</f>
        <v>0</v>
      </c>
      <c r="E110" s="64">
        <v>3500</v>
      </c>
      <c r="F110" s="85"/>
      <c r="G110" s="81">
        <v>200</v>
      </c>
      <c r="H110" s="81">
        <v>201</v>
      </c>
    </row>
    <row r="111" spans="1:8" s="3" customFormat="1">
      <c r="A111" s="15" t="s">
        <v>78</v>
      </c>
      <c r="B111" s="31">
        <f>3+C111-D111</f>
        <v>3</v>
      </c>
      <c r="C111" s="31">
        <f>0</f>
        <v>0</v>
      </c>
      <c r="D111" s="59">
        <f>0</f>
        <v>0</v>
      </c>
      <c r="E111" s="64">
        <v>3300</v>
      </c>
      <c r="F111" s="85"/>
      <c r="G111" s="81">
        <v>202</v>
      </c>
      <c r="H111" s="81">
        <v>203</v>
      </c>
    </row>
    <row r="112" spans="1:8" s="3" customFormat="1">
      <c r="A112" s="15" t="s">
        <v>79</v>
      </c>
      <c r="B112" s="31">
        <f>3+C112-D112</f>
        <v>3</v>
      </c>
      <c r="C112" s="31">
        <f>0</f>
        <v>0</v>
      </c>
      <c r="D112" s="59">
        <f>0</f>
        <v>0</v>
      </c>
      <c r="E112" s="64">
        <v>2500</v>
      </c>
      <c r="F112" s="85"/>
      <c r="G112" s="81">
        <v>204</v>
      </c>
      <c r="H112" s="81">
        <v>205</v>
      </c>
    </row>
    <row r="113" spans="1:8" s="3" customFormat="1">
      <c r="A113" s="14" t="s">
        <v>80</v>
      </c>
      <c r="B113" s="31">
        <f>10+C113-D113</f>
        <v>0</v>
      </c>
      <c r="C113" s="31">
        <f>0</f>
        <v>0</v>
      </c>
      <c r="D113" s="59">
        <f>3+1+2+4</f>
        <v>10</v>
      </c>
      <c r="E113" s="64">
        <v>2500</v>
      </c>
      <c r="F113" s="85" t="s">
        <v>132</v>
      </c>
      <c r="G113" s="81">
        <v>206</v>
      </c>
      <c r="H113" s="81">
        <v>207</v>
      </c>
    </row>
    <row r="114" spans="1:8" s="3" customFormat="1">
      <c r="A114" s="49" t="s">
        <v>81</v>
      </c>
      <c r="B114" s="31">
        <f>1+C114-D114</f>
        <v>1</v>
      </c>
      <c r="C114" s="31">
        <f>0</f>
        <v>0</v>
      </c>
      <c r="D114" s="59">
        <f>0</f>
        <v>0</v>
      </c>
      <c r="E114" s="64">
        <v>3200</v>
      </c>
      <c r="F114" s="85"/>
      <c r="G114" s="81">
        <v>208</v>
      </c>
      <c r="H114" s="81">
        <v>209</v>
      </c>
    </row>
    <row r="115" spans="1:8" s="3" customFormat="1">
      <c r="A115" s="72" t="s">
        <v>105</v>
      </c>
      <c r="B115" s="31">
        <f>7-D115+C115</f>
        <v>0</v>
      </c>
      <c r="C115" s="31">
        <f>0+5</f>
        <v>5</v>
      </c>
      <c r="D115" s="59">
        <f>2+3+7</f>
        <v>12</v>
      </c>
      <c r="E115" s="71">
        <v>400</v>
      </c>
      <c r="F115" s="85"/>
      <c r="G115" s="81">
        <v>210</v>
      </c>
      <c r="H115" s="81">
        <v>211</v>
      </c>
    </row>
    <row r="116" spans="1:8" s="3" customFormat="1">
      <c r="A116" s="51"/>
      <c r="B116" s="39"/>
      <c r="C116" s="39"/>
      <c r="D116" s="61"/>
      <c r="E116" s="67"/>
      <c r="F116" s="85"/>
      <c r="G116" s="81"/>
      <c r="H116" s="81"/>
    </row>
    <row r="117" spans="1:8" s="3" customFormat="1">
      <c r="A117" s="50" t="s">
        <v>82</v>
      </c>
      <c r="B117" s="31">
        <f>300+300+220+42+C117-D117</f>
        <v>262</v>
      </c>
      <c r="C117" s="31">
        <f>1500+1500+1500</f>
        <v>4500</v>
      </c>
      <c r="D117" s="59">
        <f>0+600+300+300+300+300+300+300+300+300+300+300+300+300+300+300+300</f>
        <v>5100</v>
      </c>
      <c r="E117" s="64" t="s">
        <v>137</v>
      </c>
      <c r="F117" s="85" t="s">
        <v>135</v>
      </c>
      <c r="G117" s="81">
        <v>212</v>
      </c>
      <c r="H117" s="81">
        <v>213</v>
      </c>
    </row>
    <row r="118" spans="1:8" s="3" customFormat="1">
      <c r="A118" s="52" t="s">
        <v>86</v>
      </c>
      <c r="B118" s="31">
        <f>300+300+300+300+C118-D118</f>
        <v>900</v>
      </c>
      <c r="C118" s="31">
        <f>0</f>
        <v>0</v>
      </c>
      <c r="D118" s="59">
        <f>0+300</f>
        <v>300</v>
      </c>
      <c r="E118" s="64" t="s">
        <v>111</v>
      </c>
      <c r="F118" s="85"/>
      <c r="G118" s="81">
        <v>214</v>
      </c>
      <c r="H118" s="81">
        <v>215</v>
      </c>
    </row>
    <row r="119" spans="1:8" s="3" customFormat="1">
      <c r="A119" s="70" t="s">
        <v>101</v>
      </c>
      <c r="B119" s="31">
        <f>0+C119 -D119</f>
        <v>630</v>
      </c>
      <c r="C119" s="31">
        <f>900+600+750</f>
        <v>2250</v>
      </c>
      <c r="D119" s="59">
        <f>0+300+100+300+20+300+300+300</f>
        <v>1620</v>
      </c>
      <c r="E119" s="71" t="s">
        <v>111</v>
      </c>
      <c r="F119" s="85"/>
      <c r="G119" s="81">
        <v>216</v>
      </c>
      <c r="H119" s="81">
        <v>217</v>
      </c>
    </row>
    <row r="120" spans="1:8" s="3" customFormat="1">
      <c r="A120" s="51"/>
      <c r="B120" s="39"/>
      <c r="C120" s="39"/>
      <c r="D120" s="61"/>
      <c r="E120" s="67"/>
      <c r="F120" s="85"/>
      <c r="G120" s="81"/>
      <c r="H120" s="81"/>
    </row>
    <row r="121" spans="1:8" s="3" customFormat="1">
      <c r="A121" s="54" t="s">
        <v>83</v>
      </c>
      <c r="B121" s="31">
        <f>250+C121-D121</f>
        <v>250</v>
      </c>
      <c r="C121" s="31">
        <f>0+250</f>
        <v>250</v>
      </c>
      <c r="D121" s="59">
        <f>0+100+15+135</f>
        <v>250</v>
      </c>
      <c r="E121" s="64">
        <v>130</v>
      </c>
      <c r="F121" s="85"/>
      <c r="G121" s="81">
        <v>218</v>
      </c>
      <c r="H121" s="81">
        <v>219</v>
      </c>
    </row>
    <row r="122" spans="1:8" s="3" customFormat="1">
      <c r="A122" s="79" t="s">
        <v>131</v>
      </c>
      <c r="B122" s="31">
        <f>0+C122-D122</f>
        <v>260</v>
      </c>
      <c r="C122" s="31">
        <f>600</f>
        <v>600</v>
      </c>
      <c r="D122" s="59">
        <f>300+40</f>
        <v>340</v>
      </c>
      <c r="E122" s="71">
        <v>130</v>
      </c>
      <c r="F122" s="85"/>
      <c r="G122" s="81">
        <v>220</v>
      </c>
      <c r="H122" s="81">
        <v>221</v>
      </c>
    </row>
    <row r="123" spans="1:8" s="3" customFormat="1">
      <c r="A123" s="56"/>
      <c r="B123" s="39"/>
      <c r="C123" s="39"/>
      <c r="D123" s="61"/>
      <c r="E123" s="67"/>
      <c r="F123" s="85"/>
      <c r="G123" s="81"/>
      <c r="H123" s="81"/>
    </row>
    <row r="124" spans="1:8" s="3" customFormat="1">
      <c r="A124" s="55" t="s">
        <v>84</v>
      </c>
      <c r="B124" s="31">
        <f>500+C124-D124</f>
        <v>500</v>
      </c>
      <c r="C124" s="31">
        <f>0</f>
        <v>0</v>
      </c>
      <c r="D124" s="59">
        <v>0</v>
      </c>
      <c r="E124" s="64">
        <v>127</v>
      </c>
      <c r="F124" s="85"/>
      <c r="G124" s="81">
        <v>222</v>
      </c>
      <c r="H124" s="81">
        <v>223</v>
      </c>
    </row>
    <row r="125" spans="1:8" s="3" customFormat="1">
      <c r="A125" s="17" t="s">
        <v>85</v>
      </c>
      <c r="B125" s="31">
        <f>400+85+C125-D125-3</f>
        <v>110</v>
      </c>
      <c r="C125" s="31">
        <f>0</f>
        <v>0</v>
      </c>
      <c r="D125" s="59">
        <f>0+200+32+140</f>
        <v>372</v>
      </c>
      <c r="E125" s="64">
        <v>127</v>
      </c>
      <c r="F125" s="85"/>
      <c r="G125" s="81">
        <v>224</v>
      </c>
      <c r="H125" s="81">
        <v>225</v>
      </c>
    </row>
    <row r="126" spans="1:8" s="3" customFormat="1">
      <c r="A126" s="49" t="s">
        <v>87</v>
      </c>
      <c r="B126" s="31">
        <f>100+C126-D126</f>
        <v>100</v>
      </c>
      <c r="C126" s="31">
        <f>0</f>
        <v>0</v>
      </c>
      <c r="D126" s="59">
        <f>0</f>
        <v>0</v>
      </c>
      <c r="E126" s="64">
        <v>220</v>
      </c>
      <c r="F126" s="85"/>
      <c r="G126" s="81">
        <v>226</v>
      </c>
      <c r="H126" s="81">
        <v>227</v>
      </c>
    </row>
    <row r="127" spans="1:8" s="3" customFormat="1">
      <c r="A127" s="56"/>
      <c r="B127" s="39"/>
      <c r="C127" s="39"/>
      <c r="D127" s="61"/>
      <c r="E127" s="67"/>
      <c r="F127" s="85"/>
      <c r="G127" s="81"/>
      <c r="H127" s="81"/>
    </row>
    <row r="128" spans="1:8" s="3" customFormat="1">
      <c r="A128" s="53" t="s">
        <v>88</v>
      </c>
      <c r="B128" s="31">
        <f>3+C128-D128</f>
        <v>2</v>
      </c>
      <c r="C128" s="31">
        <f>0</f>
        <v>0</v>
      </c>
      <c r="D128" s="59">
        <f>0+1</f>
        <v>1</v>
      </c>
      <c r="E128" s="64">
        <v>720</v>
      </c>
      <c r="F128" s="85"/>
      <c r="G128" s="81">
        <v>228</v>
      </c>
      <c r="H128" s="81">
        <v>229</v>
      </c>
    </row>
    <row r="129" spans="1:8" s="3" customFormat="1">
      <c r="A129" s="57" t="s">
        <v>89</v>
      </c>
      <c r="B129" s="31">
        <f>3+C129-D129</f>
        <v>3</v>
      </c>
      <c r="C129" s="31">
        <f>0</f>
        <v>0</v>
      </c>
      <c r="D129" s="59">
        <f>0</f>
        <v>0</v>
      </c>
      <c r="E129" s="64">
        <v>1000</v>
      </c>
      <c r="F129" s="85"/>
      <c r="G129" s="81">
        <v>230</v>
      </c>
      <c r="H129" s="81">
        <v>231</v>
      </c>
    </row>
    <row r="130" spans="1:8" s="3" customFormat="1">
      <c r="A130" s="56"/>
      <c r="B130" s="39"/>
      <c r="C130" s="39"/>
      <c r="D130" s="61"/>
      <c r="E130" s="67"/>
      <c r="F130" s="85"/>
      <c r="G130" s="81"/>
      <c r="H130" s="81"/>
    </row>
    <row r="131" spans="1:8" s="3" customFormat="1">
      <c r="A131" s="53" t="s">
        <v>90</v>
      </c>
      <c r="B131" s="31">
        <f>8+C131-D131</f>
        <v>8</v>
      </c>
      <c r="C131" s="31">
        <f>0</f>
        <v>0</v>
      </c>
      <c r="D131" s="59">
        <f>0</f>
        <v>0</v>
      </c>
      <c r="E131" s="64">
        <v>750</v>
      </c>
      <c r="F131" s="85"/>
      <c r="G131" s="81">
        <v>232</v>
      </c>
      <c r="H131" s="81">
        <v>233</v>
      </c>
    </row>
    <row r="132" spans="1:8" s="3" customFormat="1">
      <c r="A132" s="16" t="s">
        <v>91</v>
      </c>
      <c r="B132" s="31">
        <f>2+C132-D132</f>
        <v>2</v>
      </c>
      <c r="C132" s="31">
        <f>0</f>
        <v>0</v>
      </c>
      <c r="D132" s="59">
        <f>0</f>
        <v>0</v>
      </c>
      <c r="E132" s="64">
        <v>1000</v>
      </c>
      <c r="F132" s="85"/>
      <c r="G132" s="81">
        <v>234</v>
      </c>
      <c r="H132" s="81">
        <v>235</v>
      </c>
    </row>
    <row r="133" spans="1:8" s="3" customFormat="1">
      <c r="A133" s="12" t="s">
        <v>102</v>
      </c>
      <c r="B133" s="31">
        <f xml:space="preserve"> 100 +6+C133-D133</f>
        <v>128</v>
      </c>
      <c r="C133" s="31">
        <f>0+150</f>
        <v>150</v>
      </c>
      <c r="D133" s="59">
        <f>1+30+10+20+20+2+5+20+20</f>
        <v>128</v>
      </c>
      <c r="E133" s="64">
        <v>170</v>
      </c>
      <c r="F133" s="85"/>
      <c r="G133" s="81">
        <v>236</v>
      </c>
      <c r="H133" s="81">
        <v>237</v>
      </c>
    </row>
    <row r="134" spans="1:8" s="3" customFormat="1">
      <c r="A134" s="12" t="s">
        <v>103</v>
      </c>
      <c r="B134" s="31">
        <f>200+C134-D134</f>
        <v>92</v>
      </c>
      <c r="C134" s="31">
        <f>0</f>
        <v>0</v>
      </c>
      <c r="D134" s="59">
        <f>0+5+6+2+30+20+2+2+1+20+20</f>
        <v>108</v>
      </c>
      <c r="E134" s="64">
        <f>150</f>
        <v>150</v>
      </c>
      <c r="F134" s="85" t="s">
        <v>143</v>
      </c>
      <c r="G134" s="81">
        <v>238</v>
      </c>
      <c r="H134" s="81">
        <v>239</v>
      </c>
    </row>
    <row r="135" spans="1:8" s="3" customFormat="1">
      <c r="A135" s="12" t="s">
        <v>104</v>
      </c>
      <c r="B135" s="31">
        <f>32+C135-D135</f>
        <v>30</v>
      </c>
      <c r="C135" s="31">
        <f>0</f>
        <v>0</v>
      </c>
      <c r="D135" s="59">
        <f>0+2</f>
        <v>2</v>
      </c>
      <c r="E135" s="64">
        <v>60</v>
      </c>
      <c r="F135" s="85"/>
      <c r="G135" s="81">
        <v>240</v>
      </c>
      <c r="H135" s="81">
        <v>241</v>
      </c>
    </row>
    <row r="136" spans="1:8" s="3" customFormat="1">
      <c r="A136" s="12" t="s">
        <v>95</v>
      </c>
      <c r="B136" s="31">
        <f>10+C136-D136</f>
        <v>0</v>
      </c>
      <c r="C136" s="31">
        <f>0</f>
        <v>0</v>
      </c>
      <c r="D136" s="59">
        <f>2+1+1+5+1</f>
        <v>10</v>
      </c>
      <c r="E136" s="64">
        <v>250</v>
      </c>
      <c r="F136" s="85"/>
      <c r="G136" s="81">
        <v>242</v>
      </c>
      <c r="H136" s="81">
        <v>243</v>
      </c>
    </row>
    <row r="137" spans="1:8" s="3" customFormat="1">
      <c r="A137" s="16" t="s">
        <v>94</v>
      </c>
      <c r="B137" s="69">
        <f>20 +C137-D137-4</f>
        <v>0</v>
      </c>
      <c r="C137" s="31">
        <f>0</f>
        <v>0</v>
      </c>
      <c r="D137" s="59">
        <f>2+2+3+1+2+6</f>
        <v>16</v>
      </c>
      <c r="E137" s="64">
        <v>340</v>
      </c>
      <c r="F137" s="85"/>
      <c r="G137" s="81">
        <v>244</v>
      </c>
      <c r="H137" s="81">
        <v>245</v>
      </c>
    </row>
    <row r="138" spans="1:8" s="3" customFormat="1">
      <c r="A138" s="16" t="s">
        <v>99</v>
      </c>
      <c r="B138" s="69">
        <f>2+C138-D138</f>
        <v>2</v>
      </c>
      <c r="C138" s="31">
        <f>0</f>
        <v>0</v>
      </c>
      <c r="D138" s="59">
        <f>0</f>
        <v>0</v>
      </c>
      <c r="E138" s="64">
        <v>2248</v>
      </c>
      <c r="F138" s="85"/>
      <c r="G138" s="81">
        <v>246</v>
      </c>
      <c r="H138" s="81">
        <v>247</v>
      </c>
    </row>
    <row r="139" spans="1:8" s="3" customFormat="1">
      <c r="A139" s="16" t="s">
        <v>100</v>
      </c>
      <c r="B139" s="69">
        <f>5+C139-D139</f>
        <v>5</v>
      </c>
      <c r="C139" s="31">
        <f>0</f>
        <v>0</v>
      </c>
      <c r="D139" s="59">
        <f>0</f>
        <v>0</v>
      </c>
      <c r="E139" s="64">
        <v>550</v>
      </c>
      <c r="F139" s="85"/>
      <c r="G139" s="81">
        <v>248</v>
      </c>
      <c r="H139" s="81">
        <v>249</v>
      </c>
    </row>
    <row r="140" spans="1:8" s="3" customFormat="1">
      <c r="A140" s="16" t="s">
        <v>96</v>
      </c>
      <c r="B140" s="34">
        <f>4+C140-D140</f>
        <v>4</v>
      </c>
      <c r="C140" s="31">
        <f>0</f>
        <v>0</v>
      </c>
      <c r="D140" s="59">
        <f>0</f>
        <v>0</v>
      </c>
      <c r="E140" s="64">
        <v>6179</v>
      </c>
      <c r="F140" s="85"/>
      <c r="G140" s="81">
        <v>250</v>
      </c>
      <c r="H140" s="81">
        <v>251</v>
      </c>
    </row>
    <row r="141" spans="1:8" s="3" customFormat="1">
      <c r="A141" s="16" t="s">
        <v>97</v>
      </c>
      <c r="B141" s="31">
        <f t="shared" ref="B141:B146" si="1">1+C141-D141</f>
        <v>1</v>
      </c>
      <c r="C141" s="31">
        <f>0</f>
        <v>0</v>
      </c>
      <c r="D141" s="59">
        <f>0</f>
        <v>0</v>
      </c>
      <c r="E141" s="64">
        <v>22853</v>
      </c>
      <c r="F141" s="85"/>
      <c r="G141" s="81">
        <v>252</v>
      </c>
      <c r="H141" s="81">
        <v>253</v>
      </c>
    </row>
    <row r="142" spans="1:8" s="3" customFormat="1">
      <c r="A142" s="16" t="s">
        <v>98</v>
      </c>
      <c r="B142" s="31">
        <f t="shared" si="1"/>
        <v>1</v>
      </c>
      <c r="C142" s="31">
        <f>0+1</f>
        <v>1</v>
      </c>
      <c r="D142" s="59">
        <f>0+1</f>
        <v>1</v>
      </c>
      <c r="E142" s="64">
        <v>16505</v>
      </c>
      <c r="F142" s="85"/>
      <c r="G142" s="81">
        <v>254</v>
      </c>
      <c r="H142" s="81">
        <v>255</v>
      </c>
    </row>
    <row r="143" spans="1:8" s="3" customFormat="1">
      <c r="A143" s="16" t="s">
        <v>108</v>
      </c>
      <c r="B143" s="31">
        <f t="shared" si="1"/>
        <v>1</v>
      </c>
      <c r="C143" s="31">
        <f>0</f>
        <v>0</v>
      </c>
      <c r="D143" s="59">
        <f>0</f>
        <v>0</v>
      </c>
      <c r="E143" s="64" t="s">
        <v>93</v>
      </c>
      <c r="F143" s="85"/>
      <c r="G143" s="81">
        <v>256</v>
      </c>
      <c r="H143" s="81">
        <v>257</v>
      </c>
    </row>
    <row r="144" spans="1:8" s="3" customFormat="1">
      <c r="A144" s="16" t="s">
        <v>106</v>
      </c>
      <c r="B144" s="31">
        <f t="shared" si="1"/>
        <v>1</v>
      </c>
      <c r="C144" s="31">
        <f>0</f>
        <v>0</v>
      </c>
      <c r="D144" s="59">
        <f>0</f>
        <v>0</v>
      </c>
      <c r="E144" s="64" t="s">
        <v>93</v>
      </c>
      <c r="F144" s="85"/>
      <c r="G144" s="81">
        <v>258</v>
      </c>
      <c r="H144" s="81">
        <v>259</v>
      </c>
    </row>
    <row r="145" spans="1:8" s="3" customFormat="1">
      <c r="A145" s="16" t="s">
        <v>107</v>
      </c>
      <c r="B145" s="31">
        <f t="shared" si="1"/>
        <v>1</v>
      </c>
      <c r="C145" s="31">
        <f>0</f>
        <v>0</v>
      </c>
      <c r="D145" s="59">
        <f>0</f>
        <v>0</v>
      </c>
      <c r="E145" s="64" t="s">
        <v>93</v>
      </c>
      <c r="F145" s="85"/>
      <c r="G145" s="81">
        <v>260</v>
      </c>
      <c r="H145" s="81">
        <v>261</v>
      </c>
    </row>
    <row r="146" spans="1:8" s="3" customFormat="1">
      <c r="A146" s="16" t="s">
        <v>109</v>
      </c>
      <c r="B146" s="31">
        <f t="shared" si="1"/>
        <v>1</v>
      </c>
      <c r="C146" s="31">
        <f>0</f>
        <v>0</v>
      </c>
      <c r="D146" s="59">
        <f>0</f>
        <v>0</v>
      </c>
      <c r="E146" s="64" t="s">
        <v>93</v>
      </c>
      <c r="F146" s="85"/>
      <c r="G146" s="81">
        <v>262</v>
      </c>
      <c r="H146" s="81">
        <v>263</v>
      </c>
    </row>
    <row r="147" spans="1:8" s="3" customFormat="1">
      <c r="A147" s="16"/>
      <c r="B147" s="31"/>
      <c r="C147" s="31"/>
      <c r="D147" s="59"/>
      <c r="E147" s="64"/>
      <c r="F147" s="85"/>
      <c r="G147" s="81"/>
      <c r="H147" s="81"/>
    </row>
    <row r="148" spans="1:8" s="3" customFormat="1">
      <c r="A148" s="16"/>
      <c r="B148" s="31"/>
      <c r="C148" s="31"/>
      <c r="D148" s="59"/>
      <c r="E148" s="64"/>
      <c r="F148" s="85"/>
      <c r="G148" s="81"/>
      <c r="H148" s="81"/>
    </row>
    <row r="149" spans="1:8" s="3" customFormat="1">
      <c r="A149" s="16"/>
      <c r="B149" s="31"/>
      <c r="C149" s="31"/>
      <c r="D149" s="59"/>
      <c r="E149" s="64"/>
      <c r="F149" s="85"/>
      <c r="G149" s="81"/>
      <c r="H149" s="81"/>
    </row>
    <row r="150" spans="1:8" s="3" customFormat="1">
      <c r="A150" s="16"/>
      <c r="B150" s="31"/>
      <c r="C150" s="31"/>
      <c r="D150" s="59"/>
      <c r="E150" s="64"/>
      <c r="F150" s="85"/>
      <c r="G150" s="81"/>
      <c r="H150" s="81"/>
    </row>
    <row r="151" spans="1:8" s="3" customFormat="1">
      <c r="A151" s="16"/>
      <c r="B151" s="31"/>
      <c r="C151" s="31"/>
      <c r="D151" s="59"/>
      <c r="E151" s="64"/>
      <c r="F151" s="85"/>
      <c r="G151" s="81"/>
      <c r="H151" s="81"/>
    </row>
    <row r="152" spans="1:8" s="3" customFormat="1">
      <c r="A152" s="16"/>
      <c r="B152" s="31"/>
      <c r="C152" s="31"/>
      <c r="D152" s="59"/>
      <c r="E152" s="64"/>
      <c r="F152" s="85"/>
      <c r="G152" s="81"/>
      <c r="H152" s="81"/>
    </row>
    <row r="153" spans="1:8" s="3" customFormat="1">
      <c r="A153" s="80"/>
      <c r="B153" s="31"/>
      <c r="C153" s="31"/>
      <c r="D153" s="59"/>
      <c r="E153" s="64"/>
      <c r="F153" s="85"/>
      <c r="G153" s="81"/>
      <c r="H153" s="81"/>
    </row>
    <row r="154" spans="1:8" s="3" customFormat="1">
      <c r="A154" s="16"/>
      <c r="B154" s="31"/>
      <c r="C154" s="31"/>
      <c r="D154" s="59"/>
      <c r="E154" s="64"/>
      <c r="F154" s="85"/>
      <c r="G154" s="81"/>
      <c r="H154" s="81"/>
    </row>
    <row r="155" spans="1:8" s="3" customFormat="1">
      <c r="A155" s="16"/>
      <c r="B155" s="34"/>
      <c r="C155" s="31"/>
      <c r="D155" s="59"/>
      <c r="E155" s="64"/>
      <c r="F155" s="85"/>
      <c r="G155" s="81"/>
      <c r="H155" s="81"/>
    </row>
    <row r="156" spans="1:8" s="3" customFormat="1">
      <c r="A156" s="16"/>
      <c r="B156" s="31"/>
      <c r="C156" s="31"/>
      <c r="D156" s="59"/>
      <c r="E156" s="64"/>
      <c r="F156" s="85"/>
      <c r="G156" s="81"/>
      <c r="H156" s="81"/>
    </row>
    <row r="157" spans="1:8" s="3" customFormat="1">
      <c r="A157" s="16"/>
      <c r="B157" s="31"/>
      <c r="C157" s="31"/>
      <c r="D157" s="59"/>
      <c r="E157" s="64"/>
      <c r="F157" s="85"/>
      <c r="G157" s="81"/>
      <c r="H157" s="81"/>
    </row>
    <row r="158" spans="1:8" s="3" customFormat="1">
      <c r="A158" s="16"/>
      <c r="B158" s="31"/>
      <c r="C158" s="31"/>
      <c r="D158" s="59"/>
      <c r="E158" s="64"/>
      <c r="F158" s="85"/>
      <c r="G158" s="81"/>
      <c r="H158" s="81"/>
    </row>
    <row r="159" spans="1:8" s="3" customFormat="1">
      <c r="A159" s="16"/>
      <c r="B159" s="31"/>
      <c r="C159" s="31"/>
      <c r="D159" s="59"/>
      <c r="E159" s="64"/>
      <c r="F159" s="85"/>
      <c r="G159" s="81"/>
      <c r="H159" s="81"/>
    </row>
    <row r="160" spans="1:8" s="3" customFormat="1">
      <c r="A160" s="16"/>
      <c r="B160" s="31"/>
      <c r="C160" s="31"/>
      <c r="D160" s="59"/>
      <c r="E160" s="64"/>
      <c r="F160" s="85"/>
      <c r="G160" s="81"/>
      <c r="H160" s="81"/>
    </row>
    <row r="161" spans="1:8" s="3" customFormat="1">
      <c r="A161" s="16"/>
      <c r="B161" s="31"/>
      <c r="C161" s="31"/>
      <c r="D161" s="59"/>
      <c r="E161" s="64"/>
      <c r="F161" s="85"/>
      <c r="G161" s="81"/>
      <c r="H161" s="81"/>
    </row>
    <row r="162" spans="1:8" s="3" customFormat="1">
      <c r="A162" s="16"/>
      <c r="B162" s="31"/>
      <c r="C162" s="31"/>
      <c r="D162" s="59"/>
      <c r="E162" s="64"/>
      <c r="F162" s="85"/>
      <c r="G162" s="81"/>
      <c r="H162" s="81"/>
    </row>
    <row r="163" spans="1:8" s="3" customFormat="1">
      <c r="A163" s="16"/>
      <c r="B163" s="31"/>
      <c r="C163" s="31"/>
      <c r="D163" s="59"/>
      <c r="E163" s="64"/>
      <c r="F163" s="85"/>
      <c r="G163" s="81"/>
      <c r="H163" s="81"/>
    </row>
    <row r="164" spans="1:8" s="3" customFormat="1">
      <c r="A164" s="16"/>
      <c r="B164" s="31"/>
      <c r="C164" s="31"/>
      <c r="D164" s="59"/>
      <c r="E164" s="64"/>
      <c r="F164" s="85"/>
      <c r="G164" s="81"/>
      <c r="H164" s="81"/>
    </row>
    <row r="165" spans="1:8" s="3" customFormat="1">
      <c r="A165" s="16"/>
      <c r="B165" s="31"/>
      <c r="C165" s="31"/>
      <c r="D165" s="59"/>
      <c r="E165" s="64"/>
      <c r="F165" s="85"/>
      <c r="G165" s="81"/>
      <c r="H165" s="81"/>
    </row>
    <row r="166" spans="1:8" s="3" customFormat="1">
      <c r="A166" s="16"/>
      <c r="B166" s="31"/>
      <c r="C166" s="31"/>
      <c r="D166" s="59"/>
      <c r="E166" s="64"/>
      <c r="F166" s="85"/>
      <c r="G166" s="81"/>
      <c r="H166" s="81"/>
    </row>
    <row r="167" spans="1:8" s="3" customFormat="1">
      <c r="A167" s="20"/>
      <c r="B167" s="31"/>
      <c r="C167" s="31"/>
      <c r="D167" s="59"/>
      <c r="E167" s="64"/>
      <c r="F167" s="85"/>
      <c r="G167" s="81"/>
      <c r="H167" s="81"/>
    </row>
    <row r="168" spans="1:8" s="3" customFormat="1">
      <c r="A168" s="16"/>
      <c r="B168" s="31"/>
      <c r="C168" s="31"/>
      <c r="D168" s="59"/>
      <c r="E168" s="64"/>
      <c r="F168" s="85"/>
      <c r="G168" s="81"/>
      <c r="H168" s="81"/>
    </row>
    <row r="169" spans="1:8" s="3" customFormat="1">
      <c r="A169" s="16"/>
      <c r="B169" s="35"/>
      <c r="C169" s="31"/>
      <c r="D169" s="59"/>
      <c r="E169" s="64"/>
      <c r="F169" s="85"/>
      <c r="G169" s="81"/>
      <c r="H169" s="81"/>
    </row>
    <row r="170" spans="1:8" s="3" customFormat="1">
      <c r="A170" s="16"/>
      <c r="B170" s="31"/>
      <c r="C170" s="31"/>
      <c r="D170" s="59"/>
      <c r="E170" s="64"/>
      <c r="F170" s="85"/>
      <c r="G170" s="81"/>
      <c r="H170" s="81"/>
    </row>
    <row r="171" spans="1:8" s="3" customFormat="1">
      <c r="A171" s="16"/>
      <c r="B171" s="31"/>
      <c r="C171" s="31"/>
      <c r="D171" s="59"/>
      <c r="E171" s="64"/>
      <c r="F171" s="85"/>
      <c r="G171" s="81"/>
      <c r="H171" s="81"/>
    </row>
    <row r="172" spans="1:8" s="3" customFormat="1">
      <c r="A172" s="16"/>
      <c r="B172" s="31"/>
      <c r="C172" s="31"/>
      <c r="D172" s="59"/>
      <c r="E172" s="64"/>
      <c r="F172" s="85"/>
      <c r="G172" s="81"/>
      <c r="H172" s="81"/>
    </row>
    <row r="173" spans="1:8" s="3" customFormat="1">
      <c r="A173" s="16"/>
      <c r="B173" s="31"/>
      <c r="C173" s="31"/>
      <c r="D173" s="59"/>
      <c r="E173" s="64"/>
      <c r="F173" s="85"/>
      <c r="G173" s="81"/>
      <c r="H173" s="81"/>
    </row>
    <row r="174" spans="1:8" s="3" customFormat="1">
      <c r="A174" s="16"/>
      <c r="B174" s="31"/>
      <c r="C174" s="31"/>
      <c r="D174" s="59"/>
      <c r="E174" s="64"/>
      <c r="F174" s="85"/>
      <c r="G174" s="81"/>
      <c r="H174" s="81"/>
    </row>
    <row r="175" spans="1:8" s="3" customFormat="1">
      <c r="A175" s="16"/>
      <c r="B175" s="31"/>
      <c r="C175" s="31"/>
      <c r="D175" s="59"/>
      <c r="E175" s="64"/>
      <c r="F175" s="85"/>
      <c r="G175" s="81"/>
      <c r="H175" s="81"/>
    </row>
    <row r="176" spans="1:8" s="3" customFormat="1">
      <c r="A176" s="16"/>
      <c r="B176" s="31"/>
      <c r="C176" s="31"/>
      <c r="D176" s="59"/>
      <c r="E176" s="64"/>
      <c r="F176" s="85"/>
      <c r="G176" s="81"/>
      <c r="H176" s="81"/>
    </row>
    <row r="177" spans="1:8" s="3" customFormat="1">
      <c r="A177" s="16"/>
      <c r="B177" s="31"/>
      <c r="C177" s="31"/>
      <c r="D177" s="59"/>
      <c r="E177" s="64"/>
      <c r="F177" s="85"/>
      <c r="G177" s="81"/>
      <c r="H177" s="81"/>
    </row>
    <row r="178" spans="1:8" s="3" customFormat="1">
      <c r="A178" s="16"/>
      <c r="B178" s="31"/>
      <c r="C178" s="31"/>
      <c r="D178" s="59"/>
      <c r="E178" s="64"/>
      <c r="F178" s="85"/>
      <c r="G178" s="81"/>
      <c r="H178" s="81"/>
    </row>
    <row r="179" spans="1:8" s="3" customFormat="1">
      <c r="A179" s="16"/>
      <c r="B179" s="31"/>
      <c r="C179" s="31"/>
      <c r="D179" s="59"/>
      <c r="E179" s="64"/>
      <c r="F179" s="85"/>
      <c r="G179" s="81"/>
      <c r="H179" s="81"/>
    </row>
    <row r="180" spans="1:8" s="3" customFormat="1">
      <c r="A180" s="16"/>
      <c r="B180" s="31"/>
      <c r="C180" s="31"/>
      <c r="D180" s="59"/>
      <c r="E180" s="64"/>
      <c r="F180" s="85"/>
      <c r="G180" s="81"/>
      <c r="H180" s="81"/>
    </row>
    <row r="181" spans="1:8" s="3" customFormat="1" ht="22.8">
      <c r="A181" s="18"/>
      <c r="B181" s="31"/>
      <c r="C181" s="31"/>
      <c r="D181" s="59"/>
      <c r="E181" s="64"/>
      <c r="F181" s="85"/>
      <c r="G181" s="81"/>
      <c r="H181" s="81"/>
    </row>
    <row r="182" spans="1:8" s="3" customFormat="1">
      <c r="A182" s="19"/>
      <c r="B182" s="31"/>
      <c r="C182" s="31"/>
      <c r="D182" s="59"/>
      <c r="E182" s="64"/>
      <c r="F182" s="85"/>
      <c r="G182" s="81"/>
      <c r="H182" s="81"/>
    </row>
    <row r="183" spans="1:8" s="3" customFormat="1" ht="23.4">
      <c r="A183" s="21"/>
      <c r="B183" s="33"/>
      <c r="C183" s="33"/>
      <c r="D183" s="59"/>
      <c r="E183" s="64"/>
      <c r="F183" s="85"/>
      <c r="G183" s="81"/>
      <c r="H183" s="81"/>
    </row>
    <row r="184" spans="1:8" s="3" customFormat="1">
      <c r="A184" s="21"/>
      <c r="B184" s="34"/>
      <c r="C184" s="34"/>
      <c r="D184" s="59"/>
      <c r="E184" s="64"/>
      <c r="F184" s="85"/>
      <c r="G184" s="81"/>
      <c r="H184" s="81"/>
    </row>
    <row r="185" spans="1:8" s="3" customFormat="1">
      <c r="A185" s="21"/>
      <c r="B185" s="31"/>
      <c r="C185" s="31"/>
      <c r="D185" s="59"/>
      <c r="E185" s="64"/>
      <c r="F185" s="85"/>
      <c r="G185" s="81"/>
      <c r="H185" s="81"/>
    </row>
    <row r="186" spans="1:8" s="3" customFormat="1">
      <c r="A186" s="21"/>
      <c r="B186" s="31"/>
      <c r="C186" s="31"/>
      <c r="D186" s="59"/>
      <c r="E186" s="64"/>
      <c r="F186" s="85"/>
      <c r="G186" s="81"/>
      <c r="H186" s="81"/>
    </row>
    <row r="187" spans="1:8" s="3" customFormat="1">
      <c r="A187" s="21"/>
      <c r="B187" s="31"/>
      <c r="C187" s="31"/>
      <c r="D187" s="59"/>
      <c r="E187" s="64"/>
      <c r="F187" s="85"/>
      <c r="G187" s="81"/>
      <c r="H187" s="81"/>
    </row>
    <row r="188" spans="1:8" s="3" customFormat="1" ht="16.2" customHeight="1">
      <c r="A188" s="19"/>
      <c r="B188" s="31"/>
      <c r="C188" s="31"/>
      <c r="D188" s="59"/>
      <c r="E188" s="64"/>
      <c r="F188" s="85"/>
      <c r="G188" s="81"/>
      <c r="H188" s="81"/>
    </row>
    <row r="189" spans="1:8" s="3" customFormat="1">
      <c r="A189" s="22"/>
      <c r="B189" s="31"/>
      <c r="C189" s="31"/>
      <c r="D189" s="59"/>
      <c r="E189" s="64"/>
      <c r="F189" s="85"/>
      <c r="G189" s="81"/>
      <c r="H189" s="81"/>
    </row>
    <row r="190" spans="1:8" s="3" customFormat="1" ht="16.2" customHeight="1">
      <c r="A190" s="19"/>
      <c r="B190" s="34"/>
      <c r="C190" s="34"/>
      <c r="D190" s="59"/>
      <c r="E190" s="64"/>
      <c r="F190" s="85"/>
      <c r="G190" s="81"/>
      <c r="H190" s="81"/>
    </row>
    <row r="191" spans="1:8" s="3" customFormat="1">
      <c r="A191" s="21"/>
      <c r="B191" s="31"/>
      <c r="C191" s="31"/>
      <c r="D191" s="59"/>
      <c r="E191" s="64"/>
      <c r="F191" s="85"/>
      <c r="G191" s="81"/>
      <c r="H191" s="81"/>
    </row>
    <row r="192" spans="1:8" s="3" customFormat="1">
      <c r="A192" s="21"/>
      <c r="B192" s="34"/>
      <c r="C192" s="34"/>
      <c r="D192" s="59"/>
      <c r="E192" s="64"/>
      <c r="F192" s="85"/>
      <c r="G192" s="81"/>
      <c r="H192" s="81"/>
    </row>
    <row r="193" spans="1:8" s="3" customFormat="1">
      <c r="A193" s="21"/>
      <c r="B193" s="31"/>
      <c r="C193" s="31"/>
      <c r="D193" s="59"/>
      <c r="E193" s="64"/>
      <c r="F193" s="85"/>
      <c r="G193" s="81"/>
      <c r="H193" s="81"/>
    </row>
    <row r="194" spans="1:8" s="3" customFormat="1" ht="22.8">
      <c r="A194" s="18"/>
      <c r="B194" s="31"/>
      <c r="C194" s="31"/>
      <c r="D194" s="59"/>
      <c r="E194" s="64"/>
      <c r="F194" s="85"/>
      <c r="G194" s="81"/>
      <c r="H194" s="81"/>
    </row>
    <row r="195" spans="1:8" s="3" customFormat="1">
      <c r="A195" s="19"/>
      <c r="B195" s="31"/>
      <c r="C195" s="31"/>
      <c r="D195" s="59"/>
      <c r="E195" s="64"/>
      <c r="F195" s="85"/>
      <c r="G195" s="81"/>
      <c r="H195" s="81"/>
    </row>
    <row r="196" spans="1:8" s="3" customFormat="1" ht="23.4">
      <c r="A196" s="21"/>
      <c r="B196" s="33"/>
      <c r="C196" s="33"/>
      <c r="D196" s="59"/>
      <c r="E196" s="64"/>
      <c r="F196" s="85"/>
      <c r="G196" s="81"/>
      <c r="H196" s="81"/>
    </row>
    <row r="197" spans="1:8" s="3" customFormat="1">
      <c r="A197" s="21"/>
      <c r="B197" s="34"/>
      <c r="C197" s="34"/>
      <c r="D197" s="59"/>
      <c r="E197" s="64"/>
      <c r="F197" s="85"/>
      <c r="G197" s="81"/>
      <c r="H197" s="81"/>
    </row>
    <row r="198" spans="1:8" s="3" customFormat="1">
      <c r="A198" s="21"/>
      <c r="B198" s="31"/>
      <c r="C198" s="31"/>
      <c r="D198" s="59"/>
      <c r="E198" s="64"/>
      <c r="F198" s="85"/>
      <c r="G198" s="81"/>
      <c r="H198" s="81"/>
    </row>
    <row r="199" spans="1:8" s="3" customFormat="1">
      <c r="A199" s="21"/>
      <c r="B199" s="31"/>
      <c r="C199" s="31"/>
      <c r="D199" s="59"/>
      <c r="E199" s="64"/>
      <c r="F199" s="85"/>
      <c r="G199" s="81"/>
      <c r="H199" s="81"/>
    </row>
    <row r="200" spans="1:8" s="3" customFormat="1">
      <c r="A200" s="21"/>
      <c r="B200" s="31"/>
      <c r="C200" s="31"/>
      <c r="D200" s="59"/>
      <c r="E200" s="64"/>
      <c r="F200" s="85"/>
      <c r="G200" s="81"/>
      <c r="H200" s="81"/>
    </row>
    <row r="201" spans="1:8" s="3" customFormat="1">
      <c r="A201" s="21"/>
      <c r="B201" s="31"/>
      <c r="C201" s="31"/>
      <c r="D201" s="59"/>
      <c r="E201" s="64"/>
      <c r="F201" s="85"/>
      <c r="G201" s="81"/>
      <c r="H201" s="81"/>
    </row>
    <row r="202" spans="1:8" s="3" customFormat="1">
      <c r="A202" s="21"/>
      <c r="B202" s="31"/>
      <c r="C202" s="31"/>
      <c r="D202" s="59"/>
      <c r="E202" s="64"/>
      <c r="F202" s="85"/>
      <c r="G202" s="81"/>
      <c r="H202" s="81"/>
    </row>
    <row r="203" spans="1:8" s="3" customFormat="1">
      <c r="A203" s="21"/>
      <c r="B203" s="31"/>
      <c r="C203" s="31"/>
      <c r="D203" s="59"/>
      <c r="E203" s="64"/>
      <c r="F203" s="85"/>
      <c r="G203" s="81"/>
      <c r="H203" s="81"/>
    </row>
    <row r="204" spans="1:8" s="3" customFormat="1">
      <c r="A204" s="21"/>
      <c r="B204" s="31"/>
      <c r="C204" s="31"/>
      <c r="D204" s="59"/>
      <c r="E204" s="64"/>
      <c r="F204" s="85"/>
      <c r="G204" s="81"/>
      <c r="H204" s="81"/>
    </row>
    <row r="205" spans="1:8" s="3" customFormat="1">
      <c r="A205" s="21"/>
      <c r="B205" s="31"/>
      <c r="C205" s="31"/>
      <c r="D205" s="59"/>
      <c r="E205" s="64"/>
      <c r="F205" s="85"/>
      <c r="G205" s="81"/>
      <c r="H205" s="81"/>
    </row>
    <row r="206" spans="1:8" s="3" customFormat="1">
      <c r="A206" s="21"/>
      <c r="B206" s="31"/>
      <c r="C206" s="31"/>
      <c r="D206" s="59"/>
      <c r="E206" s="64"/>
      <c r="F206" s="85"/>
      <c r="G206" s="81"/>
      <c r="H206" s="81"/>
    </row>
    <row r="207" spans="1:8" s="3" customFormat="1">
      <c r="A207" s="21"/>
      <c r="B207" s="31"/>
      <c r="C207" s="31"/>
      <c r="D207" s="59"/>
      <c r="E207" s="64"/>
      <c r="F207" s="85"/>
      <c r="G207" s="81"/>
      <c r="H207" s="81"/>
    </row>
    <row r="208" spans="1:8" s="3" customFormat="1">
      <c r="A208" s="21"/>
      <c r="B208" s="31"/>
      <c r="C208" s="31"/>
      <c r="D208" s="59"/>
      <c r="E208" s="64"/>
      <c r="F208" s="85"/>
      <c r="G208" s="81"/>
      <c r="H208" s="81"/>
    </row>
    <row r="209" spans="1:8" s="3" customFormat="1">
      <c r="A209" s="21"/>
      <c r="B209" s="31"/>
      <c r="C209" s="31"/>
      <c r="D209" s="59"/>
      <c r="E209" s="64"/>
      <c r="F209" s="85"/>
      <c r="G209" s="81"/>
      <c r="H209" s="81"/>
    </row>
    <row r="210" spans="1:8" s="3" customFormat="1">
      <c r="A210" s="21"/>
      <c r="B210" s="31"/>
      <c r="C210" s="31"/>
      <c r="D210" s="59"/>
      <c r="E210" s="64"/>
      <c r="F210" s="85"/>
      <c r="G210" s="81"/>
      <c r="H210" s="81"/>
    </row>
    <row r="211" spans="1:8" s="3" customFormat="1">
      <c r="A211" s="19"/>
      <c r="B211" s="31"/>
      <c r="C211" s="31"/>
      <c r="D211" s="59"/>
      <c r="E211" s="64"/>
      <c r="F211" s="85"/>
      <c r="G211" s="81"/>
      <c r="H211" s="81"/>
    </row>
    <row r="212" spans="1:8" s="3" customFormat="1">
      <c r="A212" s="23"/>
      <c r="B212" s="31"/>
      <c r="C212" s="31"/>
      <c r="D212" s="59"/>
      <c r="E212" s="64"/>
      <c r="F212" s="85"/>
      <c r="G212" s="81"/>
      <c r="H212" s="81"/>
    </row>
    <row r="213" spans="1:8" s="3" customFormat="1">
      <c r="A213" s="23"/>
      <c r="B213" s="34"/>
      <c r="C213" s="34"/>
      <c r="D213" s="59"/>
      <c r="E213" s="64"/>
      <c r="F213" s="85"/>
      <c r="G213" s="81"/>
      <c r="H213" s="81"/>
    </row>
    <row r="214" spans="1:8" s="3" customFormat="1">
      <c r="A214" s="23"/>
      <c r="B214" s="31"/>
      <c r="C214" s="31"/>
      <c r="D214" s="59"/>
      <c r="E214" s="64"/>
      <c r="F214" s="85"/>
      <c r="G214" s="81"/>
      <c r="H214" s="81"/>
    </row>
    <row r="215" spans="1:8" s="3" customFormat="1">
      <c r="A215" s="23"/>
      <c r="B215" s="31"/>
      <c r="C215" s="31"/>
      <c r="D215" s="59"/>
      <c r="E215" s="64"/>
      <c r="F215" s="85"/>
      <c r="G215" s="81"/>
      <c r="H215" s="81"/>
    </row>
    <row r="216" spans="1:8" s="3" customFormat="1">
      <c r="A216" s="23"/>
      <c r="B216" s="31"/>
      <c r="C216" s="31"/>
      <c r="D216" s="59"/>
      <c r="E216" s="64"/>
      <c r="F216" s="85"/>
      <c r="G216" s="81"/>
      <c r="H216" s="81"/>
    </row>
    <row r="217" spans="1:8" s="3" customFormat="1">
      <c r="A217" s="23"/>
      <c r="B217" s="31"/>
      <c r="C217" s="31"/>
      <c r="D217" s="59"/>
      <c r="E217" s="64"/>
      <c r="F217" s="85"/>
      <c r="G217" s="81"/>
      <c r="H217" s="81"/>
    </row>
    <row r="218" spans="1:8" s="3" customFormat="1">
      <c r="A218" s="23"/>
      <c r="B218" s="31"/>
      <c r="C218" s="31"/>
      <c r="D218" s="59"/>
      <c r="E218" s="64"/>
      <c r="F218" s="85"/>
      <c r="G218" s="81"/>
      <c r="H218" s="81"/>
    </row>
    <row r="219" spans="1:8" s="3" customFormat="1">
      <c r="A219" s="23"/>
      <c r="B219" s="31"/>
      <c r="C219" s="31"/>
      <c r="D219" s="59"/>
      <c r="E219" s="64"/>
      <c r="F219" s="85"/>
      <c r="G219" s="81"/>
      <c r="H219" s="81"/>
    </row>
    <row r="220" spans="1:8" s="3" customFormat="1">
      <c r="A220" s="23"/>
      <c r="B220" s="31"/>
      <c r="C220" s="31"/>
      <c r="D220" s="59"/>
      <c r="E220" s="64"/>
      <c r="F220" s="85"/>
      <c r="G220" s="81"/>
      <c r="H220" s="81"/>
    </row>
    <row r="221" spans="1:8" s="3" customFormat="1">
      <c r="A221" s="23"/>
      <c r="B221" s="31"/>
      <c r="C221" s="31"/>
      <c r="D221" s="59"/>
      <c r="E221" s="64"/>
      <c r="F221" s="85"/>
      <c r="G221" s="81"/>
      <c r="H221" s="81"/>
    </row>
    <row r="222" spans="1:8" s="3" customFormat="1">
      <c r="A222" s="23"/>
      <c r="B222" s="31"/>
      <c r="C222" s="31"/>
      <c r="D222" s="59"/>
      <c r="E222" s="64"/>
      <c r="F222" s="85"/>
      <c r="G222" s="81"/>
      <c r="H222" s="81"/>
    </row>
    <row r="223" spans="1:8" s="3" customFormat="1">
      <c r="A223" s="23"/>
      <c r="B223" s="31"/>
      <c r="C223" s="31"/>
      <c r="D223" s="59"/>
      <c r="E223" s="64"/>
      <c r="F223" s="85"/>
      <c r="G223" s="81"/>
      <c r="H223" s="81"/>
    </row>
    <row r="224" spans="1:8" s="3" customFormat="1">
      <c r="A224" s="23"/>
      <c r="B224" s="31"/>
      <c r="C224" s="31"/>
      <c r="D224" s="59"/>
      <c r="E224" s="64"/>
      <c r="F224" s="85"/>
      <c r="G224" s="81"/>
      <c r="H224" s="81"/>
    </row>
    <row r="225" spans="1:8" s="3" customFormat="1">
      <c r="A225" s="23"/>
      <c r="B225" s="31"/>
      <c r="C225" s="31"/>
      <c r="D225" s="59"/>
      <c r="E225" s="64"/>
      <c r="F225" s="85"/>
      <c r="G225" s="81"/>
      <c r="H225" s="81"/>
    </row>
    <row r="226" spans="1:8" s="3" customFormat="1">
      <c r="A226" s="19"/>
      <c r="B226" s="31"/>
      <c r="C226" s="31"/>
      <c r="D226" s="59"/>
      <c r="E226" s="64"/>
      <c r="F226" s="85"/>
      <c r="G226" s="81"/>
      <c r="H226" s="81"/>
    </row>
    <row r="227" spans="1:8" s="3" customFormat="1">
      <c r="A227" s="23"/>
      <c r="B227" s="31"/>
      <c r="C227" s="31"/>
      <c r="D227" s="59"/>
      <c r="E227" s="64"/>
      <c r="F227" s="85"/>
      <c r="G227" s="81"/>
      <c r="H227" s="81"/>
    </row>
    <row r="228" spans="1:8" s="3" customFormat="1">
      <c r="A228" s="23"/>
      <c r="B228" s="34"/>
      <c r="C228" s="34"/>
      <c r="D228" s="59"/>
      <c r="E228" s="64"/>
      <c r="F228" s="85"/>
      <c r="G228" s="81"/>
      <c r="H228" s="81"/>
    </row>
    <row r="229" spans="1:8" s="3" customFormat="1">
      <c r="A229" s="23"/>
      <c r="B229" s="31"/>
      <c r="C229" s="31"/>
      <c r="D229" s="59"/>
      <c r="E229" s="64"/>
      <c r="F229" s="85"/>
      <c r="G229" s="81"/>
      <c r="H229" s="81"/>
    </row>
    <row r="230" spans="1:8" s="3" customFormat="1">
      <c r="A230" s="23"/>
      <c r="B230" s="31"/>
      <c r="C230" s="31"/>
      <c r="D230" s="59"/>
      <c r="E230" s="64"/>
      <c r="F230" s="85"/>
      <c r="G230" s="81"/>
      <c r="H230" s="81"/>
    </row>
    <row r="231" spans="1:8" s="3" customFormat="1">
      <c r="A231" s="23"/>
      <c r="B231" s="31"/>
      <c r="C231" s="31"/>
      <c r="D231" s="59"/>
      <c r="E231" s="64"/>
      <c r="F231" s="85"/>
      <c r="G231" s="81"/>
      <c r="H231" s="81"/>
    </row>
    <row r="232" spans="1:8" s="3" customFormat="1">
      <c r="A232" s="23"/>
      <c r="B232" s="31"/>
      <c r="C232" s="31"/>
      <c r="D232" s="59"/>
      <c r="E232" s="64"/>
      <c r="F232" s="85"/>
      <c r="G232" s="81"/>
      <c r="H232" s="81"/>
    </row>
    <row r="233" spans="1:8" s="3" customFormat="1">
      <c r="A233" s="23"/>
      <c r="B233" s="31"/>
      <c r="C233" s="31"/>
      <c r="D233" s="59"/>
      <c r="E233" s="64"/>
      <c r="F233" s="85"/>
      <c r="G233" s="81"/>
      <c r="H233" s="81"/>
    </row>
    <row r="234" spans="1:8" s="3" customFormat="1">
      <c r="A234" s="23"/>
      <c r="B234" s="31"/>
      <c r="C234" s="31"/>
      <c r="D234" s="59"/>
      <c r="E234" s="64"/>
      <c r="F234" s="85"/>
      <c r="G234" s="81"/>
      <c r="H234" s="81"/>
    </row>
    <row r="235" spans="1:8" s="3" customFormat="1">
      <c r="A235" s="23"/>
      <c r="B235" s="31"/>
      <c r="C235" s="31"/>
      <c r="D235" s="59"/>
      <c r="E235" s="64"/>
      <c r="F235" s="85"/>
      <c r="G235" s="81"/>
      <c r="H235" s="81"/>
    </row>
    <row r="236" spans="1:8" s="3" customFormat="1">
      <c r="A236" s="23"/>
      <c r="B236" s="31"/>
      <c r="C236" s="31"/>
      <c r="D236" s="59"/>
      <c r="E236" s="64"/>
      <c r="F236" s="85"/>
      <c r="G236" s="81"/>
      <c r="H236" s="81"/>
    </row>
    <row r="237" spans="1:8" s="3" customFormat="1">
      <c r="A237" s="23"/>
      <c r="B237" s="31"/>
      <c r="C237" s="31"/>
      <c r="D237" s="59"/>
      <c r="E237" s="64"/>
      <c r="F237" s="85"/>
      <c r="G237" s="81"/>
      <c r="H237" s="81"/>
    </row>
    <row r="238" spans="1:8" s="3" customFormat="1">
      <c r="A238" s="23"/>
      <c r="B238" s="31"/>
      <c r="C238" s="31"/>
      <c r="D238" s="59"/>
      <c r="E238" s="64"/>
      <c r="F238" s="85"/>
      <c r="G238" s="81"/>
      <c r="H238" s="81"/>
    </row>
    <row r="239" spans="1:8" s="3" customFormat="1">
      <c r="A239" s="23"/>
      <c r="B239" s="31"/>
      <c r="C239" s="31"/>
      <c r="D239" s="59"/>
      <c r="E239" s="64"/>
      <c r="F239" s="85"/>
      <c r="G239" s="81"/>
      <c r="H239" s="81"/>
    </row>
    <row r="240" spans="1:8" s="3" customFormat="1">
      <c r="A240" s="23"/>
      <c r="B240" s="31"/>
      <c r="C240" s="31"/>
      <c r="D240" s="59"/>
      <c r="E240" s="64"/>
      <c r="F240" s="85"/>
      <c r="G240" s="81"/>
      <c r="H240" s="81"/>
    </row>
    <row r="241" spans="1:8" s="3" customFormat="1" ht="22.8">
      <c r="A241" s="18"/>
      <c r="B241" s="31"/>
      <c r="C241" s="31"/>
      <c r="D241" s="59"/>
      <c r="E241" s="64"/>
      <c r="F241" s="85"/>
      <c r="G241" s="81"/>
      <c r="H241" s="81"/>
    </row>
    <row r="242" spans="1:8" s="3" customFormat="1">
      <c r="A242" s="23"/>
      <c r="B242" s="31"/>
      <c r="C242" s="31"/>
      <c r="D242" s="59"/>
      <c r="E242" s="64"/>
      <c r="F242" s="85"/>
      <c r="G242" s="81"/>
      <c r="H242" s="81"/>
    </row>
    <row r="243" spans="1:8" s="3" customFormat="1" ht="23.4">
      <c r="A243" s="23"/>
      <c r="B243" s="33"/>
      <c r="C243" s="33"/>
      <c r="D243" s="59"/>
      <c r="E243" s="64"/>
      <c r="F243" s="85"/>
      <c r="G243" s="81"/>
      <c r="H243" s="81"/>
    </row>
    <row r="244" spans="1:8" s="3" customFormat="1">
      <c r="A244" s="23"/>
      <c r="B244" s="31"/>
      <c r="C244" s="31"/>
      <c r="D244" s="59"/>
      <c r="E244" s="64"/>
      <c r="F244" s="85"/>
      <c r="G244" s="81"/>
      <c r="H244" s="81"/>
    </row>
    <row r="245" spans="1:8" s="3" customFormat="1">
      <c r="A245" s="23"/>
      <c r="B245" s="31"/>
      <c r="C245" s="31"/>
      <c r="D245" s="59"/>
      <c r="E245" s="64"/>
      <c r="F245" s="85"/>
      <c r="G245" s="81"/>
      <c r="H245" s="81"/>
    </row>
    <row r="246" spans="1:8" s="3" customFormat="1">
      <c r="A246" s="23"/>
      <c r="B246" s="31"/>
      <c r="C246" s="31"/>
      <c r="D246" s="59"/>
      <c r="E246" s="64"/>
      <c r="F246" s="85"/>
      <c r="G246" s="81"/>
      <c r="H246" s="81"/>
    </row>
    <row r="247" spans="1:8" s="3" customFormat="1">
      <c r="A247" s="23"/>
      <c r="B247" s="31"/>
      <c r="C247" s="31"/>
      <c r="D247" s="59"/>
      <c r="E247" s="64"/>
      <c r="F247" s="85"/>
      <c r="G247" s="81"/>
      <c r="H247" s="81"/>
    </row>
    <row r="248" spans="1:8" s="3" customFormat="1">
      <c r="A248" s="23"/>
      <c r="B248" s="31"/>
      <c r="C248" s="31"/>
      <c r="D248" s="59"/>
      <c r="E248" s="64"/>
      <c r="F248" s="85"/>
      <c r="G248" s="81"/>
      <c r="H248" s="81"/>
    </row>
    <row r="249" spans="1:8" s="3" customFormat="1">
      <c r="A249" s="23"/>
      <c r="B249" s="31"/>
      <c r="C249" s="31"/>
      <c r="D249" s="59"/>
      <c r="E249" s="64"/>
      <c r="F249" s="85"/>
      <c r="G249" s="81"/>
      <c r="H249" s="81"/>
    </row>
    <row r="250" spans="1:8" s="3" customFormat="1">
      <c r="A250" s="23"/>
      <c r="B250" s="31"/>
      <c r="C250" s="31"/>
      <c r="D250" s="59"/>
      <c r="E250" s="64"/>
      <c r="F250" s="85"/>
      <c r="G250" s="81"/>
      <c r="H250" s="81"/>
    </row>
    <row r="251" spans="1:8" s="3" customFormat="1" ht="22.8">
      <c r="A251" s="18"/>
      <c r="B251" s="31"/>
      <c r="C251" s="31"/>
      <c r="D251" s="59"/>
      <c r="E251" s="64"/>
      <c r="F251" s="85"/>
      <c r="G251" s="81"/>
      <c r="H251" s="81"/>
    </row>
    <row r="252" spans="1:8" s="3" customFormat="1">
      <c r="A252" s="22"/>
      <c r="B252" s="31"/>
      <c r="C252" s="31"/>
      <c r="D252" s="59"/>
      <c r="E252" s="64"/>
      <c r="F252" s="85"/>
      <c r="G252" s="81"/>
      <c r="H252" s="81"/>
    </row>
    <row r="253" spans="1:8" s="3" customFormat="1">
      <c r="A253" s="22"/>
      <c r="B253" s="31"/>
      <c r="C253" s="31"/>
      <c r="D253" s="59"/>
      <c r="E253" s="64"/>
      <c r="F253" s="85"/>
      <c r="G253" s="81"/>
      <c r="H253" s="81"/>
    </row>
    <row r="254" spans="1:8" s="3" customFormat="1">
      <c r="A254" s="24"/>
      <c r="B254" s="31"/>
      <c r="C254" s="31"/>
      <c r="D254" s="59"/>
      <c r="E254" s="64"/>
      <c r="F254" s="85"/>
      <c r="G254" s="81"/>
      <c r="H254" s="81"/>
    </row>
    <row r="255" spans="1:8" s="3" customFormat="1">
      <c r="A255" s="24"/>
      <c r="B255" s="31"/>
      <c r="C255" s="31"/>
      <c r="D255" s="59"/>
      <c r="E255" s="64"/>
      <c r="F255" s="85"/>
      <c r="G255" s="81"/>
      <c r="H255" s="81"/>
    </row>
    <row r="256" spans="1:8" s="3" customFormat="1">
      <c r="A256" s="24"/>
      <c r="B256" s="31"/>
      <c r="C256" s="31"/>
      <c r="D256" s="59"/>
      <c r="E256" s="64"/>
      <c r="F256" s="85"/>
      <c r="G256" s="81"/>
      <c r="H256" s="81"/>
    </row>
    <row r="257" spans="1:8" s="3" customFormat="1">
      <c r="A257" s="24"/>
      <c r="B257" s="31"/>
      <c r="C257" s="31"/>
      <c r="D257" s="59"/>
      <c r="E257" s="64"/>
      <c r="F257" s="85"/>
      <c r="G257" s="81"/>
      <c r="H257" s="81"/>
    </row>
    <row r="258" spans="1:8" s="3" customFormat="1" ht="18" customHeight="1">
      <c r="A258" s="24"/>
      <c r="B258" s="33"/>
      <c r="C258" s="33"/>
      <c r="D258" s="59"/>
      <c r="E258" s="64"/>
      <c r="F258" s="85"/>
      <c r="G258" s="81"/>
      <c r="H258" s="81"/>
    </row>
    <row r="259" spans="1:8" s="3" customFormat="1">
      <c r="A259" s="24"/>
      <c r="B259" s="31"/>
      <c r="C259" s="31"/>
      <c r="D259" s="59"/>
      <c r="E259" s="64"/>
      <c r="F259" s="85"/>
      <c r="G259" s="81"/>
      <c r="H259" s="81"/>
    </row>
    <row r="260" spans="1:8" s="3" customFormat="1">
      <c r="A260" s="24"/>
      <c r="B260" s="31"/>
      <c r="C260" s="31"/>
      <c r="D260" s="59"/>
      <c r="E260" s="64"/>
      <c r="F260" s="85"/>
      <c r="G260" s="81"/>
      <c r="H260" s="81"/>
    </row>
    <row r="261" spans="1:8" s="3" customFormat="1">
      <c r="A261" s="24"/>
      <c r="B261" s="31"/>
      <c r="C261" s="31"/>
      <c r="D261" s="59"/>
      <c r="E261" s="64"/>
      <c r="F261" s="85"/>
      <c r="G261" s="81"/>
      <c r="H261" s="81"/>
    </row>
    <row r="262" spans="1:8" s="3" customFormat="1">
      <c r="A262" s="24"/>
      <c r="B262" s="31"/>
      <c r="C262" s="31"/>
      <c r="D262" s="59"/>
      <c r="E262" s="64"/>
      <c r="F262" s="85"/>
      <c r="G262" s="81"/>
      <c r="H262" s="81"/>
    </row>
    <row r="263" spans="1:8" s="3" customFormat="1" ht="22.8">
      <c r="A263" s="18"/>
      <c r="B263" s="31"/>
      <c r="C263" s="31"/>
      <c r="D263" s="59"/>
      <c r="E263" s="64"/>
      <c r="F263" s="85"/>
      <c r="G263" s="81"/>
      <c r="H263" s="81"/>
    </row>
    <row r="264" spans="1:8" s="3" customFormat="1">
      <c r="A264" s="23"/>
      <c r="B264" s="31"/>
      <c r="C264" s="31"/>
      <c r="D264" s="59"/>
      <c r="E264" s="64"/>
      <c r="F264" s="85"/>
      <c r="G264" s="81"/>
      <c r="H264" s="81"/>
    </row>
    <row r="265" spans="1:8" s="3" customFormat="1">
      <c r="A265" s="23"/>
      <c r="B265" s="31"/>
      <c r="C265" s="31"/>
      <c r="D265" s="59"/>
      <c r="E265" s="64"/>
      <c r="F265" s="85"/>
      <c r="G265" s="81"/>
      <c r="H265" s="81"/>
    </row>
    <row r="266" spans="1:8" s="3" customFormat="1">
      <c r="A266" s="23"/>
      <c r="B266" s="31"/>
      <c r="C266" s="31"/>
      <c r="D266" s="59"/>
      <c r="E266" s="64"/>
      <c r="F266" s="85"/>
      <c r="G266" s="81"/>
      <c r="H266" s="81"/>
    </row>
    <row r="267" spans="1:8" s="3" customFormat="1" ht="12.6" customHeight="1">
      <c r="A267" s="23"/>
      <c r="B267" s="33"/>
      <c r="C267" s="33"/>
      <c r="D267" s="59"/>
      <c r="E267" s="64"/>
      <c r="F267" s="85"/>
      <c r="G267" s="81"/>
      <c r="H267" s="81"/>
    </row>
    <row r="268" spans="1:8" s="3" customFormat="1">
      <c r="A268" s="23"/>
      <c r="B268" s="31"/>
      <c r="C268" s="31"/>
      <c r="D268" s="59"/>
      <c r="E268" s="64"/>
      <c r="F268" s="85"/>
      <c r="G268" s="81"/>
      <c r="H268" s="81"/>
    </row>
    <row r="269" spans="1:8" s="3" customFormat="1">
      <c r="A269" s="23"/>
      <c r="B269" s="31"/>
      <c r="C269" s="31"/>
      <c r="D269" s="59"/>
      <c r="E269" s="64"/>
      <c r="F269" s="85"/>
      <c r="G269" s="81"/>
      <c r="H269" s="81"/>
    </row>
    <row r="270" spans="1:8" s="3" customFormat="1">
      <c r="A270" s="23"/>
      <c r="B270" s="31"/>
      <c r="C270" s="31"/>
      <c r="D270" s="59"/>
      <c r="E270" s="64"/>
      <c r="F270" s="85"/>
      <c r="G270" s="81"/>
      <c r="H270" s="81"/>
    </row>
    <row r="271" spans="1:8" s="3" customFormat="1">
      <c r="A271" s="23"/>
      <c r="B271" s="31"/>
      <c r="C271" s="31"/>
      <c r="D271" s="59"/>
      <c r="E271" s="64"/>
      <c r="F271" s="85"/>
      <c r="G271" s="81"/>
      <c r="H271" s="81"/>
    </row>
    <row r="272" spans="1:8" s="3" customFormat="1">
      <c r="A272" s="23"/>
      <c r="B272" s="31"/>
      <c r="C272" s="31"/>
      <c r="D272" s="59"/>
      <c r="E272" s="64"/>
      <c r="F272" s="85"/>
      <c r="G272" s="81"/>
      <c r="H272" s="81"/>
    </row>
    <row r="273" spans="1:8" s="3" customFormat="1">
      <c r="A273" s="23"/>
      <c r="B273" s="31"/>
      <c r="C273" s="31"/>
      <c r="D273" s="59"/>
      <c r="E273" s="64"/>
      <c r="F273" s="85"/>
      <c r="G273" s="81"/>
      <c r="H273" s="81"/>
    </row>
    <row r="274" spans="1:8" s="3" customFormat="1">
      <c r="A274" s="23"/>
      <c r="B274" s="31"/>
      <c r="C274" s="31"/>
      <c r="D274" s="59"/>
      <c r="E274" s="64"/>
      <c r="F274" s="85"/>
      <c r="G274" s="81"/>
      <c r="H274" s="81"/>
    </row>
    <row r="275" spans="1:8" s="3" customFormat="1">
      <c r="A275" s="23"/>
      <c r="B275" s="31"/>
      <c r="C275" s="31"/>
      <c r="D275" s="59"/>
      <c r="E275" s="64"/>
      <c r="F275" s="85"/>
      <c r="G275" s="81"/>
      <c r="H275" s="81"/>
    </row>
    <row r="276" spans="1:8" s="3" customFormat="1">
      <c r="A276" s="23"/>
      <c r="B276" s="31"/>
      <c r="C276" s="31"/>
      <c r="D276" s="59"/>
      <c r="E276" s="64"/>
      <c r="F276" s="85"/>
      <c r="G276" s="81"/>
      <c r="H276" s="81"/>
    </row>
    <row r="277" spans="1:8" s="3" customFormat="1">
      <c r="A277" s="23"/>
      <c r="B277" s="31"/>
      <c r="C277" s="31"/>
      <c r="D277" s="59"/>
      <c r="E277" s="64"/>
      <c r="F277" s="85"/>
      <c r="G277" s="81"/>
      <c r="H277" s="81"/>
    </row>
    <row r="278" spans="1:8" s="3" customFormat="1">
      <c r="A278" s="23"/>
      <c r="B278" s="31"/>
      <c r="C278" s="31"/>
      <c r="D278" s="59"/>
      <c r="E278" s="64"/>
      <c r="F278" s="85"/>
      <c r="G278" s="81"/>
      <c r="H278" s="81"/>
    </row>
    <row r="279" spans="1:8" s="3" customFormat="1">
      <c r="A279" s="21"/>
      <c r="B279" s="31"/>
      <c r="C279" s="31"/>
      <c r="D279" s="59"/>
      <c r="E279" s="64"/>
      <c r="F279" s="85"/>
      <c r="G279" s="81"/>
      <c r="H279" s="81"/>
    </row>
    <row r="280" spans="1:8" s="3" customFormat="1">
      <c r="A280" s="21"/>
      <c r="B280" s="31"/>
      <c r="C280" s="31"/>
      <c r="D280" s="59"/>
      <c r="E280" s="64"/>
      <c r="F280" s="85"/>
      <c r="G280" s="81"/>
      <c r="H280" s="81"/>
    </row>
    <row r="281" spans="1:8" s="3" customFormat="1">
      <c r="A281" s="21"/>
      <c r="B281" s="31"/>
      <c r="C281" s="31"/>
      <c r="D281" s="59"/>
      <c r="E281" s="64"/>
      <c r="F281" s="85"/>
      <c r="G281" s="81"/>
      <c r="H281" s="81"/>
    </row>
    <row r="282" spans="1:8" s="3" customFormat="1">
      <c r="A282" s="21"/>
      <c r="B282" s="31"/>
      <c r="C282" s="31"/>
      <c r="D282" s="59"/>
      <c r="E282" s="64"/>
      <c r="F282" s="85"/>
      <c r="G282" s="81"/>
      <c r="H282" s="81"/>
    </row>
    <row r="283" spans="1:8" s="3" customFormat="1">
      <c r="A283" s="21"/>
      <c r="B283" s="31"/>
      <c r="C283" s="31"/>
      <c r="D283" s="59"/>
      <c r="E283" s="64"/>
      <c r="F283" s="85"/>
      <c r="G283" s="81"/>
      <c r="H283" s="81"/>
    </row>
    <row r="284" spans="1:8" s="3" customFormat="1">
      <c r="A284" s="21"/>
      <c r="B284" s="31"/>
      <c r="C284" s="31"/>
      <c r="D284" s="59"/>
      <c r="E284" s="64"/>
      <c r="F284" s="85"/>
      <c r="G284" s="81"/>
      <c r="H284" s="81"/>
    </row>
    <row r="285" spans="1:8" s="3" customFormat="1">
      <c r="A285" s="25"/>
      <c r="B285" s="31"/>
      <c r="C285" s="31"/>
      <c r="D285" s="59"/>
      <c r="E285" s="64"/>
      <c r="F285" s="85"/>
      <c r="G285" s="81"/>
      <c r="H285" s="81"/>
    </row>
    <row r="286" spans="1:8" s="3" customFormat="1" ht="22.8">
      <c r="A286" s="18"/>
      <c r="B286" s="31"/>
      <c r="C286" s="31"/>
      <c r="D286" s="59"/>
      <c r="E286" s="64"/>
      <c r="F286" s="85"/>
      <c r="G286" s="81"/>
      <c r="H286" s="81"/>
    </row>
    <row r="287" spans="1:8">
      <c r="A287" s="26"/>
    </row>
    <row r="288" spans="1:8">
      <c r="A288" s="27"/>
    </row>
    <row r="289" spans="1:8">
      <c r="A289" s="28"/>
    </row>
    <row r="290" spans="1:8" s="2" customFormat="1" ht="14.4" customHeight="1">
      <c r="A290" s="27"/>
      <c r="B290" s="36"/>
      <c r="C290" s="36"/>
      <c r="D290" s="63"/>
      <c r="E290" s="64"/>
      <c r="F290" s="86"/>
      <c r="G290" s="82"/>
      <c r="H290" s="82"/>
    </row>
    <row r="291" spans="1:8">
      <c r="A291" s="27"/>
    </row>
    <row r="292" spans="1:8">
      <c r="A292" s="27"/>
    </row>
  </sheetData>
  <pageMargins left="0.7" right="0.7" top="0.75" bottom="0.75" header="0.3" footer="0.3"/>
  <pageSetup paperSize="9" scal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Электрический теплый пол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2023-10-02T09:37:48Z</dcterms:modified>
</cp:coreProperties>
</file>