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2415" yWindow="0" windowWidth="25365" windowHeight="12585" activeTab="5"/>
  </bookViews>
  <sheets>
    <sheet name="2016 " sheetId="5" r:id="rId1"/>
    <sheet name="2017" sheetId="7" r:id="rId2"/>
    <sheet name="2018" sheetId="8" r:id="rId3"/>
    <sheet name="2019" sheetId="10" r:id="rId4"/>
    <sheet name="2020" sheetId="11" r:id="rId5"/>
    <sheet name="Sheet1" sheetId="6" r:id="rId6"/>
    <sheet name="Sheet2" sheetId="12" r:id="rId7"/>
    <sheet name="Sheet3" sheetId="13" r:id="rId8"/>
    <sheet name="passbook" sheetId="14" r:id="rId9"/>
  </sheets>
  <externalReferences>
    <externalReference r:id="rId10"/>
  </externalReferences>
  <definedNames>
    <definedName name="_xlnm.Print_Area" localSheetId="4">'2020'!$A$29:$J$64</definedName>
    <definedName name="_xlnm.Print_Area" localSheetId="7">Sheet3!$A$1:$N$39</definedName>
  </definedNames>
  <calcPr calcId="125725"/>
</workbook>
</file>

<file path=xl/calcChain.xml><?xml version="1.0" encoding="utf-8"?>
<calcChain xmlns="http://schemas.openxmlformats.org/spreadsheetml/2006/main">
  <c r="C58" i="11"/>
  <c r="B22" i="12"/>
  <c r="B21"/>
  <c r="E1" i="14"/>
  <c r="C1"/>
  <c r="G4"/>
  <c r="F4" i="13"/>
  <c r="G6" i="14"/>
  <c r="G8" s="1"/>
  <c r="G10" s="1"/>
  <c r="G12" s="1"/>
  <c r="G14" s="1"/>
  <c r="G16" s="1"/>
  <c r="G18" s="1"/>
  <c r="G20" s="1"/>
  <c r="G22" s="1"/>
  <c r="G24" s="1"/>
  <c r="G26" s="1"/>
  <c r="R4" i="6"/>
  <c r="J19" i="13"/>
  <c r="H8"/>
  <c r="H33"/>
  <c r="H29"/>
  <c r="G23" l="1"/>
  <c r="H27"/>
  <c r="I19"/>
  <c r="F19"/>
  <c r="E19"/>
  <c r="J18"/>
  <c r="I18"/>
  <c r="F18"/>
  <c r="E18"/>
  <c r="J17"/>
  <c r="I17"/>
  <c r="F17"/>
  <c r="E17"/>
  <c r="J16"/>
  <c r="I16"/>
  <c r="F16"/>
  <c r="E16"/>
  <c r="J15"/>
  <c r="I15"/>
  <c r="F15"/>
  <c r="E15"/>
  <c r="J14"/>
  <c r="I14"/>
  <c r="F14"/>
  <c r="E14"/>
  <c r="H13"/>
  <c r="G13"/>
  <c r="J13"/>
  <c r="I13"/>
  <c r="F13"/>
  <c r="E13"/>
  <c r="H12"/>
  <c r="G12"/>
  <c r="J12"/>
  <c r="I12"/>
  <c r="F12"/>
  <c r="E12"/>
  <c r="H11"/>
  <c r="G11"/>
  <c r="J11"/>
  <c r="I11"/>
  <c r="F11"/>
  <c r="E11"/>
  <c r="J9"/>
  <c r="J8"/>
  <c r="J10"/>
  <c r="H10"/>
  <c r="G10"/>
  <c r="I10"/>
  <c r="F10"/>
  <c r="E10"/>
  <c r="I9"/>
  <c r="H9"/>
  <c r="G9"/>
  <c r="F9"/>
  <c r="E9"/>
  <c r="I8"/>
  <c r="G8"/>
  <c r="F8"/>
  <c r="E8"/>
  <c r="J20"/>
  <c r="F20"/>
  <c r="E20"/>
  <c r="G22" s="1"/>
  <c r="E21" i="1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"/>
  <c r="C15"/>
  <c r="I20" i="13" l="1"/>
  <c r="R6" i="6" l="1"/>
  <c r="R8" s="1"/>
  <c r="R10" s="1"/>
  <c r="R12" s="1"/>
  <c r="R14" s="1"/>
  <c r="R16" s="1"/>
  <c r="R18" s="1"/>
  <c r="R20" s="1"/>
  <c r="R22" s="1"/>
  <c r="R24" s="1"/>
  <c r="R26" s="1"/>
  <c r="P1"/>
  <c r="CI6" i="10" l="1"/>
  <c r="CS32" i="5"/>
  <c r="CT33" i="10"/>
  <c r="C37" i="11"/>
  <c r="F34"/>
  <c r="C38"/>
  <c r="AY24"/>
  <c r="R44" l="1"/>
  <c r="F63" s="1"/>
  <c r="R38"/>
  <c r="F57" s="1"/>
  <c r="M36"/>
  <c r="C55" s="1"/>
  <c r="R35"/>
  <c r="F54" s="1"/>
  <c r="R34"/>
  <c r="F53" s="1"/>
  <c r="W25"/>
  <c r="V25"/>
  <c r="U25"/>
  <c r="T25"/>
  <c r="CJ24"/>
  <c r="CH24"/>
  <c r="CG24"/>
  <c r="CC24"/>
  <c r="CA24"/>
  <c r="BZ24"/>
  <c r="BV24"/>
  <c r="BU24"/>
  <c r="BT24"/>
  <c r="BS24"/>
  <c r="BO24"/>
  <c r="BM24"/>
  <c r="BL24"/>
  <c r="BH24"/>
  <c r="BG24"/>
  <c r="BF24"/>
  <c r="BE24"/>
  <c r="BA24"/>
  <c r="AZ24"/>
  <c r="AX24"/>
  <c r="J29"/>
  <c r="F32" s="1"/>
  <c r="H31" i="13" s="1"/>
  <c r="BC22" i="11"/>
  <c r="D49" i="8"/>
  <c r="D47" i="7"/>
  <c r="H29" i="11" l="1"/>
  <c r="C32"/>
  <c r="R39" s="1"/>
  <c r="F58" s="1"/>
  <c r="R42"/>
  <c r="F61" s="1"/>
  <c r="F40"/>
  <c r="AR26" i="7"/>
  <c r="C31" i="11" l="1"/>
  <c r="H28" i="13"/>
  <c r="AR26" i="5"/>
  <c r="F36" i="10"/>
  <c r="C40"/>
  <c r="R46"/>
  <c r="R40"/>
  <c r="R37"/>
  <c r="R36"/>
  <c r="W27"/>
  <c r="V27"/>
  <c r="U27"/>
  <c r="T27"/>
  <c r="CJ26"/>
  <c r="CH26"/>
  <c r="CG26"/>
  <c r="CC26"/>
  <c r="CA26"/>
  <c r="BZ26"/>
  <c r="BV26"/>
  <c r="BU26"/>
  <c r="BT26"/>
  <c r="BS26"/>
  <c r="BO26"/>
  <c r="BM26"/>
  <c r="BL26"/>
  <c r="BH26"/>
  <c r="BG26"/>
  <c r="BF26"/>
  <c r="BE26"/>
  <c r="BA26"/>
  <c r="AZ26"/>
  <c r="AX26"/>
  <c r="AS26"/>
  <c r="AQ26"/>
  <c r="AO26"/>
  <c r="AK26"/>
  <c r="AJ26"/>
  <c r="AI26"/>
  <c r="AH26"/>
  <c r="AD26"/>
  <c r="AC26"/>
  <c r="AB26"/>
  <c r="AA26"/>
  <c r="S26"/>
  <c r="P26"/>
  <c r="N26"/>
  <c r="M26"/>
  <c r="I26"/>
  <c r="G26"/>
  <c r="C34" s="1"/>
  <c r="R41" s="1"/>
  <c r="F26"/>
  <c r="H31" s="1"/>
  <c r="CQ25"/>
  <c r="D25"/>
  <c r="BC24"/>
  <c r="D24"/>
  <c r="F36" i="8"/>
  <c r="H26" i="13" l="1"/>
  <c r="M35" i="11"/>
  <c r="C54" s="1"/>
  <c r="J31" i="10"/>
  <c r="F34" s="1"/>
  <c r="C33"/>
  <c r="M37"/>
  <c r="R44" l="1"/>
  <c r="C40" i="8" l="1"/>
  <c r="R46"/>
  <c r="R40"/>
  <c r="M38"/>
  <c r="R37"/>
  <c r="R36"/>
  <c r="W27"/>
  <c r="V27"/>
  <c r="U27"/>
  <c r="T27"/>
  <c r="CJ26"/>
  <c r="CH26"/>
  <c r="CG26"/>
  <c r="CC26"/>
  <c r="CA26"/>
  <c r="BZ26"/>
  <c r="BV26"/>
  <c r="BU26"/>
  <c r="BT26"/>
  <c r="BS26"/>
  <c r="BO26"/>
  <c r="BM26"/>
  <c r="BL26"/>
  <c r="BH26"/>
  <c r="BG26"/>
  <c r="BF26"/>
  <c r="BE26"/>
  <c r="BA26"/>
  <c r="AZ26"/>
  <c r="AX26"/>
  <c r="AS26"/>
  <c r="AQ26"/>
  <c r="AO26"/>
  <c r="AK26"/>
  <c r="AJ26"/>
  <c r="AI26"/>
  <c r="AH26"/>
  <c r="AD26"/>
  <c r="AC26"/>
  <c r="AB26"/>
  <c r="AA26"/>
  <c r="S26"/>
  <c r="P26"/>
  <c r="N26"/>
  <c r="M26"/>
  <c r="I26"/>
  <c r="J31" s="1"/>
  <c r="F34" s="1"/>
  <c r="G26"/>
  <c r="C34" s="1"/>
  <c r="R41" s="1"/>
  <c r="F26"/>
  <c r="H31" s="1"/>
  <c r="D25"/>
  <c r="CQ23" i="7"/>
  <c r="CQ22"/>
  <c r="C33" i="8" l="1"/>
  <c r="D33"/>
  <c r="M37"/>
  <c r="R44"/>
  <c r="F42"/>
  <c r="D24"/>
  <c r="CP23" i="7" l="1"/>
  <c r="F36"/>
  <c r="C40"/>
  <c r="D23"/>
  <c r="D25"/>
  <c r="J25" s="1"/>
  <c r="R46"/>
  <c r="R40"/>
  <c r="M38"/>
  <c r="R37"/>
  <c r="R36"/>
  <c r="W27"/>
  <c r="V27"/>
  <c r="U27"/>
  <c r="T27"/>
  <c r="CJ26"/>
  <c r="CH26"/>
  <c r="CG26"/>
  <c r="CC26"/>
  <c r="CA26"/>
  <c r="BZ26"/>
  <c r="BV26"/>
  <c r="BU26"/>
  <c r="BT26"/>
  <c r="BS26"/>
  <c r="BO26"/>
  <c r="BM26"/>
  <c r="BL26"/>
  <c r="BH26"/>
  <c r="BG26"/>
  <c r="BF26"/>
  <c r="BE26"/>
  <c r="BA26"/>
  <c r="AZ26"/>
  <c r="AX26"/>
  <c r="AS26"/>
  <c r="AQ26"/>
  <c r="AO26"/>
  <c r="AK26"/>
  <c r="AJ26"/>
  <c r="AI26"/>
  <c r="AH26"/>
  <c r="AD26"/>
  <c r="AC26"/>
  <c r="AB26"/>
  <c r="AA26"/>
  <c r="S26"/>
  <c r="P26"/>
  <c r="N26"/>
  <c r="M26"/>
  <c r="I26"/>
  <c r="G26"/>
  <c r="F26"/>
  <c r="H31" s="1"/>
  <c r="J22" i="5"/>
  <c r="Q22" s="1"/>
  <c r="M39"/>
  <c r="R41"/>
  <c r="CQ22"/>
  <c r="CQ5"/>
  <c r="CP26"/>
  <c r="R38"/>
  <c r="R37"/>
  <c r="S26"/>
  <c r="L22"/>
  <c r="E25"/>
  <c r="E24"/>
  <c r="C26"/>
  <c r="D25"/>
  <c r="R47"/>
  <c r="W27"/>
  <c r="V27"/>
  <c r="U27"/>
  <c r="T27"/>
  <c r="CJ26"/>
  <c r="CH26"/>
  <c r="CG26"/>
  <c r="CC26"/>
  <c r="CA26"/>
  <c r="BZ26"/>
  <c r="BV26"/>
  <c r="BU26"/>
  <c r="BT26"/>
  <c r="BS26"/>
  <c r="BO26"/>
  <c r="BM26"/>
  <c r="BL26"/>
  <c r="BH26"/>
  <c r="BG26"/>
  <c r="BF26"/>
  <c r="BE26"/>
  <c r="BA26"/>
  <c r="AZ26"/>
  <c r="AX26"/>
  <c r="AS26"/>
  <c r="AQ26"/>
  <c r="AO26"/>
  <c r="AK26"/>
  <c r="AJ26"/>
  <c r="AI26"/>
  <c r="AH26"/>
  <c r="AD26"/>
  <c r="AC26"/>
  <c r="AB26"/>
  <c r="AA26"/>
  <c r="P26"/>
  <c r="N26"/>
  <c r="M26"/>
  <c r="I26"/>
  <c r="J31" s="1"/>
  <c r="G26"/>
  <c r="F26"/>
  <c r="H31" s="1"/>
  <c r="C34" s="1"/>
  <c r="M38" s="1"/>
  <c r="M35" s="1"/>
  <c r="M48" s="1"/>
  <c r="CQ25"/>
  <c r="J25"/>
  <c r="L25" s="1"/>
  <c r="CQ24"/>
  <c r="D24"/>
  <c r="J24" s="1"/>
  <c r="L24" s="1"/>
  <c r="D23"/>
  <c r="J23" s="1"/>
  <c r="L23" s="1"/>
  <c r="CQ21"/>
  <c r="E21"/>
  <c r="D21" s="1"/>
  <c r="J21" s="1"/>
  <c r="L21" s="1"/>
  <c r="CQ20"/>
  <c r="E20"/>
  <c r="D20" s="1"/>
  <c r="J20" s="1"/>
  <c r="L20" s="1"/>
  <c r="CQ19"/>
  <c r="E19"/>
  <c r="D19" s="1"/>
  <c r="J19" s="1"/>
  <c r="L19" s="1"/>
  <c r="CQ18"/>
  <c r="E18"/>
  <c r="D18" s="1"/>
  <c r="J18" s="1"/>
  <c r="L18" s="1"/>
  <c r="CQ17"/>
  <c r="E17"/>
  <c r="D17" s="1"/>
  <c r="J17" s="1"/>
  <c r="L17" s="1"/>
  <c r="CQ16"/>
  <c r="E16"/>
  <c r="D16" s="1"/>
  <c r="J16" s="1"/>
  <c r="L16" s="1"/>
  <c r="CQ15"/>
  <c r="E15"/>
  <c r="D15" s="1"/>
  <c r="J15" s="1"/>
  <c r="L15" s="1"/>
  <c r="CQ14"/>
  <c r="E14"/>
  <c r="D14" s="1"/>
  <c r="J14" s="1"/>
  <c r="L14" s="1"/>
  <c r="CQ13"/>
  <c r="E13"/>
  <c r="D13" s="1"/>
  <c r="J13" s="1"/>
  <c r="L13" s="1"/>
  <c r="CQ12"/>
  <c r="E12"/>
  <c r="D12" s="1"/>
  <c r="J12" s="1"/>
  <c r="L12" s="1"/>
  <c r="CQ11"/>
  <c r="E11"/>
  <c r="D11" s="1"/>
  <c r="J11" s="1"/>
  <c r="L11" s="1"/>
  <c r="CQ10"/>
  <c r="E10"/>
  <c r="D10" s="1"/>
  <c r="J10" s="1"/>
  <c r="L10" s="1"/>
  <c r="CQ9"/>
  <c r="E9"/>
  <c r="D9" s="1"/>
  <c r="J9" s="1"/>
  <c r="L9" s="1"/>
  <c r="CQ8"/>
  <c r="E8"/>
  <c r="D8" s="1"/>
  <c r="J8" s="1"/>
  <c r="L8" s="1"/>
  <c r="CQ7"/>
  <c r="E7"/>
  <c r="D7" s="1"/>
  <c r="J7" s="1"/>
  <c r="L7" s="1"/>
  <c r="CQ6"/>
  <c r="E6"/>
  <c r="D6" s="1"/>
  <c r="J6" s="1"/>
  <c r="L6" s="1"/>
  <c r="E5"/>
  <c r="D5" s="1"/>
  <c r="J5" s="1"/>
  <c r="L5" s="1"/>
  <c r="CQ4"/>
  <c r="E4"/>
  <c r="D4" s="1"/>
  <c r="J4" s="1"/>
  <c r="L4" s="1"/>
  <c r="E3"/>
  <c r="E26" s="1"/>
  <c r="X22" l="1"/>
  <c r="S22"/>
  <c r="C34" i="7"/>
  <c r="R41" s="1"/>
  <c r="R38" s="1"/>
  <c r="R39" i="8" s="1"/>
  <c r="R38" s="1"/>
  <c r="R39" i="10" s="1"/>
  <c r="R38" s="1"/>
  <c r="R37" i="11" s="1"/>
  <c r="J31" i="7"/>
  <c r="F34" s="1"/>
  <c r="C35" i="5"/>
  <c r="R42" s="1"/>
  <c r="R39" s="1"/>
  <c r="R39" i="7" s="1"/>
  <c r="R35" i="5"/>
  <c r="R35" i="7" s="1"/>
  <c r="R34" s="1"/>
  <c r="R35" i="8" s="1"/>
  <c r="R34" s="1"/>
  <c r="F35" i="5"/>
  <c r="R45" s="1"/>
  <c r="C33" i="7"/>
  <c r="CR25" i="5"/>
  <c r="CS25" s="1"/>
  <c r="CP25" i="7" s="1"/>
  <c r="CQ25" s="1"/>
  <c r="CR24" i="5"/>
  <c r="CS24" s="1"/>
  <c r="CP24" i="7" s="1"/>
  <c r="CQ24" s="1"/>
  <c r="CR22" i="5"/>
  <c r="CS22" s="1"/>
  <c r="CP22" i="7" s="1"/>
  <c r="CR21" i="5"/>
  <c r="CS21" s="1"/>
  <c r="CP21" i="7" s="1"/>
  <c r="CQ21" s="1"/>
  <c r="CR20" i="5"/>
  <c r="CS20" s="1"/>
  <c r="CP20" i="7" s="1"/>
  <c r="CQ20" s="1"/>
  <c r="CR19" i="5"/>
  <c r="CS19" s="1"/>
  <c r="CP19" i="7" s="1"/>
  <c r="CQ19" s="1"/>
  <c r="CR18" i="5"/>
  <c r="CS18" s="1"/>
  <c r="CP18" i="7" s="1"/>
  <c r="CQ18" s="1"/>
  <c r="CR17" i="5"/>
  <c r="CS17" s="1"/>
  <c r="CP17" i="7" s="1"/>
  <c r="CQ17" s="1"/>
  <c r="CR16" i="5"/>
  <c r="CS16" s="1"/>
  <c r="CP16" i="7" s="1"/>
  <c r="CQ16" s="1"/>
  <c r="CR15" i="5"/>
  <c r="CS15" s="1"/>
  <c r="CP15" i="7" s="1"/>
  <c r="CQ15" s="1"/>
  <c r="CR14" i="5"/>
  <c r="CS14" s="1"/>
  <c r="CP14" i="7" s="1"/>
  <c r="CQ14" s="1"/>
  <c r="CR13" i="5"/>
  <c r="CS13" s="1"/>
  <c r="CP13" i="7" s="1"/>
  <c r="CQ13" s="1"/>
  <c r="CR12" i="5"/>
  <c r="CS12" s="1"/>
  <c r="CP12" i="7" s="1"/>
  <c r="CQ12" s="1"/>
  <c r="CR11" i="5"/>
  <c r="CS11" s="1"/>
  <c r="CP11" i="7" s="1"/>
  <c r="CQ11" s="1"/>
  <c r="CR10" i="5"/>
  <c r="CS10" s="1"/>
  <c r="CP10" i="7" s="1"/>
  <c r="CQ10" s="1"/>
  <c r="CR9" i="5"/>
  <c r="CS9" s="1"/>
  <c r="CP9" i="7" s="1"/>
  <c r="CQ9" s="1"/>
  <c r="CR8" i="5"/>
  <c r="CS8" s="1"/>
  <c r="CP8" i="7" s="1"/>
  <c r="CQ8" s="1"/>
  <c r="CR7" i="5"/>
  <c r="CS7" s="1"/>
  <c r="CP7" i="7" s="1"/>
  <c r="CQ7" s="1"/>
  <c r="CR6" i="5"/>
  <c r="CS6" s="1"/>
  <c r="CP6" i="7" s="1"/>
  <c r="CQ6" s="1"/>
  <c r="CR5" i="5"/>
  <c r="CS5" s="1"/>
  <c r="CP5" i="7" s="1"/>
  <c r="CQ5" s="1"/>
  <c r="CR4" i="5"/>
  <c r="CS4" s="1"/>
  <c r="CP4" i="7" s="1"/>
  <c r="CQ4" s="1"/>
  <c r="M36"/>
  <c r="R35" i="10"/>
  <c r="R34" s="1"/>
  <c r="R33" i="11" s="1"/>
  <c r="F52" s="1"/>
  <c r="R32"/>
  <c r="F51" s="1"/>
  <c r="L25" i="7"/>
  <c r="K25" s="1"/>
  <c r="Q25" s="1"/>
  <c r="M37"/>
  <c r="M34" s="1"/>
  <c r="CR23" s="1"/>
  <c r="CS23" s="1"/>
  <c r="F43" i="5"/>
  <c r="D3"/>
  <c r="D26" s="1"/>
  <c r="K4"/>
  <c r="Q4" s="1"/>
  <c r="S4" s="1"/>
  <c r="K5"/>
  <c r="Q5" s="1"/>
  <c r="S5" s="1"/>
  <c r="K6"/>
  <c r="Q6" s="1"/>
  <c r="S6" s="1"/>
  <c r="K7"/>
  <c r="Q7" s="1"/>
  <c r="S7" s="1"/>
  <c r="K8"/>
  <c r="Q8" s="1"/>
  <c r="S8" s="1"/>
  <c r="K9"/>
  <c r="Q9" s="1"/>
  <c r="S9" s="1"/>
  <c r="K10"/>
  <c r="Q10" s="1"/>
  <c r="S10" s="1"/>
  <c r="K11"/>
  <c r="Q11" s="1"/>
  <c r="S11" s="1"/>
  <c r="K12"/>
  <c r="Q12" s="1"/>
  <c r="S12" s="1"/>
  <c r="K13"/>
  <c r="Q13" s="1"/>
  <c r="S13" s="1"/>
  <c r="K14"/>
  <c r="Q14" s="1"/>
  <c r="S14" s="1"/>
  <c r="K15"/>
  <c r="Q15" s="1"/>
  <c r="S15" s="1"/>
  <c r="K16"/>
  <c r="Q16" s="1"/>
  <c r="S16" s="1"/>
  <c r="K17"/>
  <c r="Q17" s="1"/>
  <c r="S17" s="1"/>
  <c r="K18"/>
  <c r="Q18" s="1"/>
  <c r="S18" s="1"/>
  <c r="K19"/>
  <c r="Q19" s="1"/>
  <c r="S19" s="1"/>
  <c r="K20"/>
  <c r="Q20" s="1"/>
  <c r="S20" s="1"/>
  <c r="K21"/>
  <c r="Q21" s="1"/>
  <c r="S21" s="1"/>
  <c r="K23"/>
  <c r="Q23" s="1"/>
  <c r="S23" s="1"/>
  <c r="K24"/>
  <c r="Q24" s="1"/>
  <c r="S24" s="1"/>
  <c r="K25"/>
  <c r="Q25" s="1"/>
  <c r="S25" s="1"/>
  <c r="J3"/>
  <c r="L3" s="1"/>
  <c r="CQ3"/>
  <c r="CQ26" s="1"/>
  <c r="P31" s="1"/>
  <c r="O31" s="1"/>
  <c r="R44" i="7" l="1"/>
  <c r="F42"/>
  <c r="F56" i="11"/>
  <c r="R36"/>
  <c r="F55" s="1"/>
  <c r="AE22" i="5"/>
  <c r="Z22"/>
  <c r="CR3"/>
  <c r="CR18" i="7"/>
  <c r="CS3" i="5"/>
  <c r="CP3" i="7" s="1"/>
  <c r="CQ3" s="1"/>
  <c r="CR26" i="5"/>
  <c r="CS26" s="1"/>
  <c r="M36" i="8"/>
  <c r="M34" s="1"/>
  <c r="CR22" i="7"/>
  <c r="CP23" i="8"/>
  <c r="CQ23" s="1"/>
  <c r="CR23" s="1"/>
  <c r="CS23" s="1"/>
  <c r="CR5" i="7"/>
  <c r="CS5" s="1"/>
  <c r="CP5" i="8" s="1"/>
  <c r="CQ5" s="1"/>
  <c r="CR5" s="1"/>
  <c r="CS5" s="1"/>
  <c r="CR7" i="7"/>
  <c r="CS7" s="1"/>
  <c r="CP7" i="8" s="1"/>
  <c r="CQ7" s="1"/>
  <c r="CR7" s="1"/>
  <c r="CS7" s="1"/>
  <c r="CR25" i="7"/>
  <c r="CS25" s="1"/>
  <c r="CP25" i="8" s="1"/>
  <c r="CQ25" s="1"/>
  <c r="CR25" s="1"/>
  <c r="CS25" s="1"/>
  <c r="CR24" i="7"/>
  <c r="CS24" s="1"/>
  <c r="CP24" i="8" s="1"/>
  <c r="CQ24" s="1"/>
  <c r="CR24" s="1"/>
  <c r="CS24" s="1"/>
  <c r="CR21" i="7"/>
  <c r="CS21" s="1"/>
  <c r="CP21" i="8" s="1"/>
  <c r="CQ21" s="1"/>
  <c r="CR21" s="1"/>
  <c r="CS21" s="1"/>
  <c r="CR20" i="7"/>
  <c r="CS20" s="1"/>
  <c r="CP20" i="8" s="1"/>
  <c r="CQ20" s="1"/>
  <c r="CR20" s="1"/>
  <c r="CS20" s="1"/>
  <c r="CR19" i="7"/>
  <c r="CS19" s="1"/>
  <c r="CP19" i="8" s="1"/>
  <c r="CQ19" s="1"/>
  <c r="CR19" s="1"/>
  <c r="CS19" s="1"/>
  <c r="CS18" i="7"/>
  <c r="CR17"/>
  <c r="CS17" s="1"/>
  <c r="CP17" i="8" s="1"/>
  <c r="CQ17" s="1"/>
  <c r="CR17" s="1"/>
  <c r="CS17" s="1"/>
  <c r="CR16" i="7"/>
  <c r="CS16" s="1"/>
  <c r="CP16" i="8" s="1"/>
  <c r="CQ16" s="1"/>
  <c r="CR16" s="1"/>
  <c r="CS16" s="1"/>
  <c r="CR15" i="7"/>
  <c r="CS15" s="1"/>
  <c r="CP15" i="8" s="1"/>
  <c r="CQ15" s="1"/>
  <c r="CR15" s="1"/>
  <c r="CS15" s="1"/>
  <c r="CR14" i="7"/>
  <c r="CS14" s="1"/>
  <c r="CP14" i="8" s="1"/>
  <c r="CQ14" s="1"/>
  <c r="CR14" s="1"/>
  <c r="CS14" s="1"/>
  <c r="CR13" i="7"/>
  <c r="CS13" s="1"/>
  <c r="CP13" i="8" s="1"/>
  <c r="CQ13" s="1"/>
  <c r="CR13" s="1"/>
  <c r="CS13" s="1"/>
  <c r="CR12" i="7"/>
  <c r="CS12" s="1"/>
  <c r="CP12" i="8" s="1"/>
  <c r="CQ12" s="1"/>
  <c r="CR12" s="1"/>
  <c r="CS12" s="1"/>
  <c r="CR11" i="7"/>
  <c r="CS11" s="1"/>
  <c r="CP11" i="8" s="1"/>
  <c r="CQ11" s="1"/>
  <c r="CR11" s="1"/>
  <c r="CS11" s="1"/>
  <c r="CR10" i="7"/>
  <c r="CS10" s="1"/>
  <c r="CP10" i="8" s="1"/>
  <c r="CQ10" s="1"/>
  <c r="CR10" s="1"/>
  <c r="CS10" s="1"/>
  <c r="CR9" i="7"/>
  <c r="CS9" s="1"/>
  <c r="CP9" i="8" s="1"/>
  <c r="CQ9" s="1"/>
  <c r="CR9" s="1"/>
  <c r="CS9" s="1"/>
  <c r="CR8" i="7"/>
  <c r="CS8" s="1"/>
  <c r="CP8" i="8" s="1"/>
  <c r="CQ8" s="1"/>
  <c r="CR8" s="1"/>
  <c r="CS8" s="1"/>
  <c r="CR6" i="7"/>
  <c r="CS6" s="1"/>
  <c r="CP6" i="8" s="1"/>
  <c r="CQ6" s="1"/>
  <c r="CR6" s="1"/>
  <c r="CS6" s="1"/>
  <c r="CR4" i="7"/>
  <c r="CS4" s="1"/>
  <c r="CP4" i="8" s="1"/>
  <c r="CQ4" s="1"/>
  <c r="M47"/>
  <c r="S25" i="7"/>
  <c r="R25" s="1"/>
  <c r="X25" s="1"/>
  <c r="M47"/>
  <c r="R25" i="5"/>
  <c r="X25" s="1"/>
  <c r="Z25" s="1"/>
  <c r="R24"/>
  <c r="X24" s="1"/>
  <c r="Z24" s="1"/>
  <c r="R23"/>
  <c r="X23" s="1"/>
  <c r="Z23" s="1"/>
  <c r="R21"/>
  <c r="X21" s="1"/>
  <c r="Z21" s="1"/>
  <c r="R20"/>
  <c r="X20" s="1"/>
  <c r="Z20" s="1"/>
  <c r="R19"/>
  <c r="X19" s="1"/>
  <c r="Z19" s="1"/>
  <c r="R18"/>
  <c r="X18" s="1"/>
  <c r="Z18" s="1"/>
  <c r="R17"/>
  <c r="X17" s="1"/>
  <c r="Z17" s="1"/>
  <c r="R16"/>
  <c r="X16" s="1"/>
  <c r="Z16" s="1"/>
  <c r="R15"/>
  <c r="X15" s="1"/>
  <c r="Z15" s="1"/>
  <c r="R14"/>
  <c r="X14" s="1"/>
  <c r="Z14" s="1"/>
  <c r="R13"/>
  <c r="X13" s="1"/>
  <c r="Z13" s="1"/>
  <c r="R12"/>
  <c r="X12" s="1"/>
  <c r="Z12" s="1"/>
  <c r="R11"/>
  <c r="X11" s="1"/>
  <c r="Z11" s="1"/>
  <c r="R10"/>
  <c r="X10" s="1"/>
  <c r="Z10" s="1"/>
  <c r="R9"/>
  <c r="X9" s="1"/>
  <c r="Z9" s="1"/>
  <c r="R8"/>
  <c r="X8" s="1"/>
  <c r="Z8" s="1"/>
  <c r="R7"/>
  <c r="X7" s="1"/>
  <c r="Z7" s="1"/>
  <c r="R6"/>
  <c r="X6" s="1"/>
  <c r="Z6" s="1"/>
  <c r="R5"/>
  <c r="X5" s="1"/>
  <c r="Z5" s="1"/>
  <c r="R4"/>
  <c r="X4" s="1"/>
  <c r="Z4" s="1"/>
  <c r="J26"/>
  <c r="AL22" l="1"/>
  <c r="AG22"/>
  <c r="CR4" i="8"/>
  <c r="CS4" s="1"/>
  <c r="CP4" i="10" s="1"/>
  <c r="CR4" s="1"/>
  <c r="CP18" i="8"/>
  <c r="CQ18" s="1"/>
  <c r="CR18" s="1"/>
  <c r="CS18" s="1"/>
  <c r="CS22" i="7"/>
  <c r="CP22" i="8" s="1"/>
  <c r="CQ22" s="1"/>
  <c r="CR22" s="1"/>
  <c r="CS22" s="1"/>
  <c r="CP21" i="10" s="1"/>
  <c r="CQ21" s="1"/>
  <c r="CP26" i="7"/>
  <c r="CP6" i="10"/>
  <c r="CQ6" s="1"/>
  <c r="CP8"/>
  <c r="CQ8" s="1"/>
  <c r="CP9"/>
  <c r="CQ9" s="1"/>
  <c r="CP10"/>
  <c r="CQ10" s="1"/>
  <c r="CP11"/>
  <c r="CQ11" s="1"/>
  <c r="CP12"/>
  <c r="CQ12" s="1"/>
  <c r="CP13"/>
  <c r="CQ13" s="1"/>
  <c r="CP14"/>
  <c r="CQ14" s="1"/>
  <c r="CP15"/>
  <c r="CQ15" s="1"/>
  <c r="CP16"/>
  <c r="CQ16" s="1"/>
  <c r="CP17"/>
  <c r="CQ17" s="1"/>
  <c r="CP18"/>
  <c r="CQ18" s="1"/>
  <c r="CP19"/>
  <c r="CQ19" s="1"/>
  <c r="CP24"/>
  <c r="CR24" s="1"/>
  <c r="CP20"/>
  <c r="CQ20" s="1"/>
  <c r="CP23"/>
  <c r="CQ23" s="1"/>
  <c r="CP7"/>
  <c r="CQ7" s="1"/>
  <c r="CP5"/>
  <c r="CQ5" s="1"/>
  <c r="CP22"/>
  <c r="CQ22" s="1"/>
  <c r="M36"/>
  <c r="Z25" i="7"/>
  <c r="Y25" s="1"/>
  <c r="AE25" s="1"/>
  <c r="Y4" i="5"/>
  <c r="AE4" s="1"/>
  <c r="AG4" s="1"/>
  <c r="Y5"/>
  <c r="AE5" s="1"/>
  <c r="AG5" s="1"/>
  <c r="Y6"/>
  <c r="AE6" s="1"/>
  <c r="AG6" s="1"/>
  <c r="Y7"/>
  <c r="AE7" s="1"/>
  <c r="AG7" s="1"/>
  <c r="Y8"/>
  <c r="AE8" s="1"/>
  <c r="AG8" s="1"/>
  <c r="Y9"/>
  <c r="AE9" s="1"/>
  <c r="AG9" s="1"/>
  <c r="Y10"/>
  <c r="AE10" s="1"/>
  <c r="AG10" s="1"/>
  <c r="Y11"/>
  <c r="AE11" s="1"/>
  <c r="AG11" s="1"/>
  <c r="Y12"/>
  <c r="AE12" s="1"/>
  <c r="AG12" s="1"/>
  <c r="Y13"/>
  <c r="AE13" s="1"/>
  <c r="AG13" s="1"/>
  <c r="Y14"/>
  <c r="AE14" s="1"/>
  <c r="AG14" s="1"/>
  <c r="Y15"/>
  <c r="AE15" s="1"/>
  <c r="AG15" s="1"/>
  <c r="Y16"/>
  <c r="AE16" s="1"/>
  <c r="AG16" s="1"/>
  <c r="Y17"/>
  <c r="AE17" s="1"/>
  <c r="AG17" s="1"/>
  <c r="Y18"/>
  <c r="AE18" s="1"/>
  <c r="AG18" s="1"/>
  <c r="Y19"/>
  <c r="AE19" s="1"/>
  <c r="AG19" s="1"/>
  <c r="Y20"/>
  <c r="AE20" s="1"/>
  <c r="AG20" s="1"/>
  <c r="Y21"/>
  <c r="AE21" s="1"/>
  <c r="AG21" s="1"/>
  <c r="Y23"/>
  <c r="AE23" s="1"/>
  <c r="AG23" s="1"/>
  <c r="Y24"/>
  <c r="AE24" s="1"/>
  <c r="AG24" s="1"/>
  <c r="Y25"/>
  <c r="AE25" s="1"/>
  <c r="L26"/>
  <c r="K3"/>
  <c r="AG25" l="1"/>
  <c r="AF25" s="1"/>
  <c r="AL25" s="1"/>
  <c r="AN25" s="1"/>
  <c r="AM25" s="1"/>
  <c r="AU25" s="1"/>
  <c r="AU22"/>
  <c r="AN22"/>
  <c r="CQ26" i="10"/>
  <c r="O33"/>
  <c r="CQ26" i="7"/>
  <c r="O33" s="1"/>
  <c r="O31" s="1"/>
  <c r="CR3"/>
  <c r="AG25"/>
  <c r="AF25" s="1"/>
  <c r="AL25" s="1"/>
  <c r="AF24" i="5"/>
  <c r="AL24" s="1"/>
  <c r="AF23"/>
  <c r="AL23" s="1"/>
  <c r="AF21"/>
  <c r="AL21" s="1"/>
  <c r="AF20"/>
  <c r="AL20" s="1"/>
  <c r="AF19"/>
  <c r="AL19" s="1"/>
  <c r="AF18"/>
  <c r="AL18" s="1"/>
  <c r="AF17"/>
  <c r="AL17" s="1"/>
  <c r="AF16"/>
  <c r="AL16" s="1"/>
  <c r="AF15"/>
  <c r="AL15" s="1"/>
  <c r="AF14"/>
  <c r="AL14" s="1"/>
  <c r="AF13"/>
  <c r="AL13" s="1"/>
  <c r="AF12"/>
  <c r="AL12" s="1"/>
  <c r="AF11"/>
  <c r="AL11" s="1"/>
  <c r="AF10"/>
  <c r="AL10" s="1"/>
  <c r="AF9"/>
  <c r="AL9" s="1"/>
  <c r="AF8"/>
  <c r="AL8" s="1"/>
  <c r="AF7"/>
  <c r="AL7" s="1"/>
  <c r="AF6"/>
  <c r="AL6" s="1"/>
  <c r="AF5"/>
  <c r="AL5" s="1"/>
  <c r="AF4"/>
  <c r="AL4" s="1"/>
  <c r="K26"/>
  <c r="Q3"/>
  <c r="S3" s="1"/>
  <c r="AW25" l="1"/>
  <c r="AV25" s="1"/>
  <c r="BB25"/>
  <c r="BB22"/>
  <c r="AW22"/>
  <c r="CR26" i="7"/>
  <c r="CS3"/>
  <c r="CS26" s="1"/>
  <c r="AN4" i="5"/>
  <c r="AM4" s="1"/>
  <c r="AU4" s="1"/>
  <c r="AW4" s="1"/>
  <c r="AV4" s="1"/>
  <c r="BB4" s="1"/>
  <c r="BD4" s="1"/>
  <c r="AN5"/>
  <c r="AM5" s="1"/>
  <c r="AU5" s="1"/>
  <c r="AW5" s="1"/>
  <c r="AV5" s="1"/>
  <c r="BB5" s="1"/>
  <c r="BD5" s="1"/>
  <c r="AN6"/>
  <c r="AM6" s="1"/>
  <c r="AU6" s="1"/>
  <c r="AW6" s="1"/>
  <c r="AV6" s="1"/>
  <c r="BB6" s="1"/>
  <c r="BD6" s="1"/>
  <c r="AN7"/>
  <c r="AM7" s="1"/>
  <c r="AU7" s="1"/>
  <c r="AW7" s="1"/>
  <c r="AV7" s="1"/>
  <c r="BB7" s="1"/>
  <c r="BD7" s="1"/>
  <c r="AN8"/>
  <c r="AM8" s="1"/>
  <c r="AU8" s="1"/>
  <c r="AW8" s="1"/>
  <c r="AV8" s="1"/>
  <c r="BB8" s="1"/>
  <c r="BD8" s="1"/>
  <c r="AN9"/>
  <c r="AM9" s="1"/>
  <c r="AU9" s="1"/>
  <c r="AW9" s="1"/>
  <c r="AV9" s="1"/>
  <c r="BB9" s="1"/>
  <c r="BD9" s="1"/>
  <c r="AN10"/>
  <c r="AM10" s="1"/>
  <c r="AU10" s="1"/>
  <c r="AW10" s="1"/>
  <c r="AV10" s="1"/>
  <c r="BB10" s="1"/>
  <c r="BD10" s="1"/>
  <c r="AN11"/>
  <c r="AM11" s="1"/>
  <c r="AU11" s="1"/>
  <c r="AW11" s="1"/>
  <c r="AV11" s="1"/>
  <c r="BB11" s="1"/>
  <c r="BD11" s="1"/>
  <c r="AN12"/>
  <c r="AM12" s="1"/>
  <c r="AU12" s="1"/>
  <c r="AW12" s="1"/>
  <c r="AV12" s="1"/>
  <c r="BB12" s="1"/>
  <c r="BD12" s="1"/>
  <c r="AN13"/>
  <c r="AM13" s="1"/>
  <c r="AU13" s="1"/>
  <c r="AW13" s="1"/>
  <c r="AV13" s="1"/>
  <c r="BB13" s="1"/>
  <c r="BD13" s="1"/>
  <c r="AN14"/>
  <c r="AM14" s="1"/>
  <c r="AU14" s="1"/>
  <c r="AW14" s="1"/>
  <c r="AV14" s="1"/>
  <c r="BB14" s="1"/>
  <c r="BD14" s="1"/>
  <c r="AN15"/>
  <c r="AM15" s="1"/>
  <c r="AU15" s="1"/>
  <c r="AW15" s="1"/>
  <c r="AV15" s="1"/>
  <c r="BB15" s="1"/>
  <c r="BD15" s="1"/>
  <c r="AN16"/>
  <c r="AM16" s="1"/>
  <c r="AU16" s="1"/>
  <c r="AW16" s="1"/>
  <c r="AV16" s="1"/>
  <c r="BB16" s="1"/>
  <c r="BD16" s="1"/>
  <c r="AN17"/>
  <c r="AM17" s="1"/>
  <c r="AU17" s="1"/>
  <c r="AW17" s="1"/>
  <c r="AV17" s="1"/>
  <c r="BB17" s="1"/>
  <c r="BD17" s="1"/>
  <c r="AN18"/>
  <c r="AM18" s="1"/>
  <c r="AU18" s="1"/>
  <c r="AW18" s="1"/>
  <c r="AV18" s="1"/>
  <c r="BB18" s="1"/>
  <c r="BD18" s="1"/>
  <c r="AN19"/>
  <c r="AM19" s="1"/>
  <c r="AU19" s="1"/>
  <c r="AW19" s="1"/>
  <c r="AV19" s="1"/>
  <c r="BB19" s="1"/>
  <c r="BD19" s="1"/>
  <c r="AN20"/>
  <c r="AM20" s="1"/>
  <c r="AU20" s="1"/>
  <c r="AW20" s="1"/>
  <c r="AV20" s="1"/>
  <c r="BB20" s="1"/>
  <c r="BD20" s="1"/>
  <c r="AN21"/>
  <c r="AM21" s="1"/>
  <c r="AU21" s="1"/>
  <c r="AW21" s="1"/>
  <c r="AV21" s="1"/>
  <c r="BB21" s="1"/>
  <c r="BD21" s="1"/>
  <c r="AN25" i="7"/>
  <c r="AM25" s="1"/>
  <c r="AU25" s="1"/>
  <c r="AN23" i="5"/>
  <c r="AM23" s="1"/>
  <c r="AU23" s="1"/>
  <c r="AW23" s="1"/>
  <c r="AV23" s="1"/>
  <c r="BB23" s="1"/>
  <c r="BD23" s="1"/>
  <c r="AN24"/>
  <c r="AM24" s="1"/>
  <c r="AU24" s="1"/>
  <c r="AW24" s="1"/>
  <c r="AV24" s="1"/>
  <c r="BB24" s="1"/>
  <c r="BD24" s="1"/>
  <c r="Q27"/>
  <c r="BI22" l="1"/>
  <c r="BD22"/>
  <c r="BD25"/>
  <c r="BC25" s="1"/>
  <c r="BI25"/>
  <c r="CP3" i="8"/>
  <c r="AW25" i="7"/>
  <c r="AV25" s="1"/>
  <c r="BB25" s="1"/>
  <c r="BC24" i="5"/>
  <c r="BI24" s="1"/>
  <c r="BK24" s="1"/>
  <c r="BC23"/>
  <c r="BI23" s="1"/>
  <c r="BK23" s="1"/>
  <c r="BC21"/>
  <c r="BI21" s="1"/>
  <c r="BK21" s="1"/>
  <c r="BC20"/>
  <c r="BI20" s="1"/>
  <c r="BK20" s="1"/>
  <c r="BC19"/>
  <c r="BI19" s="1"/>
  <c r="BK19" s="1"/>
  <c r="BC18"/>
  <c r="BI18" s="1"/>
  <c r="BK18" s="1"/>
  <c r="BC17"/>
  <c r="BI17" s="1"/>
  <c r="BK17" s="1"/>
  <c r="BC16"/>
  <c r="BI16" s="1"/>
  <c r="BK16" s="1"/>
  <c r="BC15"/>
  <c r="BI15" s="1"/>
  <c r="BK15" s="1"/>
  <c r="BC14"/>
  <c r="BI14" s="1"/>
  <c r="BK14" s="1"/>
  <c r="BC13"/>
  <c r="BI13" s="1"/>
  <c r="BK13" s="1"/>
  <c r="BC12"/>
  <c r="BI12" s="1"/>
  <c r="BK12" s="1"/>
  <c r="BC11"/>
  <c r="BI11" s="1"/>
  <c r="BK11" s="1"/>
  <c r="BC10"/>
  <c r="BI10" s="1"/>
  <c r="BK10" s="1"/>
  <c r="BC9"/>
  <c r="BI9" s="1"/>
  <c r="BK9" s="1"/>
  <c r="BC8"/>
  <c r="BI8" s="1"/>
  <c r="BK8" s="1"/>
  <c r="BC7"/>
  <c r="BI7" s="1"/>
  <c r="BK7" s="1"/>
  <c r="BC6"/>
  <c r="BI6" s="1"/>
  <c r="BK6" s="1"/>
  <c r="BC5"/>
  <c r="BI5" s="1"/>
  <c r="BK5" s="1"/>
  <c r="BC4"/>
  <c r="BI4" s="1"/>
  <c r="BK4" s="1"/>
  <c r="S27"/>
  <c r="R3"/>
  <c r="BK25" l="1"/>
  <c r="BJ25" s="1"/>
  <c r="BP25"/>
  <c r="BR25" s="1"/>
  <c r="BQ25" s="1"/>
  <c r="BW25" s="1"/>
  <c r="BY25" s="1"/>
  <c r="BX25" s="1"/>
  <c r="CD25" s="1"/>
  <c r="CF25" s="1"/>
  <c r="CE25" s="1"/>
  <c r="CL25" s="1"/>
  <c r="C24" i="7" s="1"/>
  <c r="E24" s="1"/>
  <c r="D24" s="1"/>
  <c r="J24" s="1"/>
  <c r="L24" s="1"/>
  <c r="K24" s="1"/>
  <c r="Q24" s="1"/>
  <c r="S24" s="1"/>
  <c r="R24" s="1"/>
  <c r="X24" s="1"/>
  <c r="Z24" s="1"/>
  <c r="Y24" s="1"/>
  <c r="AE24" s="1"/>
  <c r="AG24" s="1"/>
  <c r="AF24" s="1"/>
  <c r="AL24" s="1"/>
  <c r="AN24" s="1"/>
  <c r="AM24" s="1"/>
  <c r="AU24" s="1"/>
  <c r="AW24" s="1"/>
  <c r="AV24" s="1"/>
  <c r="BB24" s="1"/>
  <c r="BP22" i="5"/>
  <c r="BK22"/>
  <c r="CQ3" i="8"/>
  <c r="CP26"/>
  <c r="BD24" i="7"/>
  <c r="BC24" s="1"/>
  <c r="BI24" s="1"/>
  <c r="BD25"/>
  <c r="BC25" s="1"/>
  <c r="BI25" s="1"/>
  <c r="BJ4" i="5"/>
  <c r="BP4" s="1"/>
  <c r="BR4" s="1"/>
  <c r="BJ5"/>
  <c r="BP5" s="1"/>
  <c r="BR5" s="1"/>
  <c r="BJ6"/>
  <c r="BP6" s="1"/>
  <c r="BR6" s="1"/>
  <c r="BJ7"/>
  <c r="BP7" s="1"/>
  <c r="BR7" s="1"/>
  <c r="BJ8"/>
  <c r="BP8" s="1"/>
  <c r="BR8" s="1"/>
  <c r="BJ9"/>
  <c r="BP9" s="1"/>
  <c r="BR9" s="1"/>
  <c r="BJ10"/>
  <c r="BP10" s="1"/>
  <c r="BR10" s="1"/>
  <c r="BJ11"/>
  <c r="BP11" s="1"/>
  <c r="BR11" s="1"/>
  <c r="BJ12"/>
  <c r="BP12" s="1"/>
  <c r="BR12" s="1"/>
  <c r="BJ13"/>
  <c r="BP13" s="1"/>
  <c r="BR13" s="1"/>
  <c r="BJ14"/>
  <c r="BP14" s="1"/>
  <c r="BR14" s="1"/>
  <c r="BJ15"/>
  <c r="BP15" s="1"/>
  <c r="BR15" s="1"/>
  <c r="BJ16"/>
  <c r="BP16" s="1"/>
  <c r="BR16" s="1"/>
  <c r="BJ17"/>
  <c r="BP17" s="1"/>
  <c r="BR17" s="1"/>
  <c r="BJ18"/>
  <c r="BP18" s="1"/>
  <c r="BR18" s="1"/>
  <c r="BJ19"/>
  <c r="BP19" s="1"/>
  <c r="BR19" s="1"/>
  <c r="BJ20"/>
  <c r="BP20" s="1"/>
  <c r="BR20" s="1"/>
  <c r="BJ21"/>
  <c r="BP21" s="1"/>
  <c r="BR21" s="1"/>
  <c r="BJ23"/>
  <c r="BP23" s="1"/>
  <c r="BR23" s="1"/>
  <c r="BJ24"/>
  <c r="BP24" s="1"/>
  <c r="BR24" s="1"/>
  <c r="R27"/>
  <c r="X3"/>
  <c r="Z3" s="1"/>
  <c r="BW22" l="1"/>
  <c r="BR22"/>
  <c r="CQ26" i="8"/>
  <c r="O33" s="1"/>
  <c r="O31" s="1"/>
  <c r="CR3"/>
  <c r="BK25" i="7"/>
  <c r="BJ25" s="1"/>
  <c r="BP25" s="1"/>
  <c r="BK24"/>
  <c r="BJ24" s="1"/>
  <c r="BP24" s="1"/>
  <c r="BQ24" i="5"/>
  <c r="BW24" s="1"/>
  <c r="BY24" s="1"/>
  <c r="BQ23"/>
  <c r="BW23" s="1"/>
  <c r="BY23" s="1"/>
  <c r="BQ21"/>
  <c r="BW21" s="1"/>
  <c r="BY21" s="1"/>
  <c r="BQ20"/>
  <c r="BW20" s="1"/>
  <c r="BY20" s="1"/>
  <c r="BQ19"/>
  <c r="BW19" s="1"/>
  <c r="BY19" s="1"/>
  <c r="BQ18"/>
  <c r="BW18" s="1"/>
  <c r="BY18" s="1"/>
  <c r="BQ17"/>
  <c r="BW17" s="1"/>
  <c r="BY17" s="1"/>
  <c r="BQ16"/>
  <c r="BW16" s="1"/>
  <c r="BY16" s="1"/>
  <c r="BQ15"/>
  <c r="BW15" s="1"/>
  <c r="BY15" s="1"/>
  <c r="BQ14"/>
  <c r="BW14" s="1"/>
  <c r="BY14" s="1"/>
  <c r="BQ13"/>
  <c r="BW13" s="1"/>
  <c r="BY13" s="1"/>
  <c r="BQ12"/>
  <c r="BW12" s="1"/>
  <c r="BY12" s="1"/>
  <c r="BQ11"/>
  <c r="BW11" s="1"/>
  <c r="BY11" s="1"/>
  <c r="BQ10"/>
  <c r="BW10" s="1"/>
  <c r="BY10" s="1"/>
  <c r="BQ9"/>
  <c r="BW9" s="1"/>
  <c r="BY9" s="1"/>
  <c r="BQ8"/>
  <c r="BW8" s="1"/>
  <c r="BY8" s="1"/>
  <c r="BQ7"/>
  <c r="BW7" s="1"/>
  <c r="BY7" s="1"/>
  <c r="BQ6"/>
  <c r="BW6" s="1"/>
  <c r="BY6" s="1"/>
  <c r="BQ5"/>
  <c r="BW5" s="1"/>
  <c r="BY5" s="1"/>
  <c r="BQ4"/>
  <c r="BW4" s="1"/>
  <c r="BY4" s="1"/>
  <c r="X26"/>
  <c r="CD22" l="1"/>
  <c r="BY22"/>
  <c r="CS3" i="8"/>
  <c r="CR26"/>
  <c r="BR24" i="7"/>
  <c r="BQ24" s="1"/>
  <c r="BW24" s="1"/>
  <c r="BR25"/>
  <c r="BQ25" s="1"/>
  <c r="BW25" s="1"/>
  <c r="BX4" i="5"/>
  <c r="BX5"/>
  <c r="BX6"/>
  <c r="BX7"/>
  <c r="BX8"/>
  <c r="BX9"/>
  <c r="BX10"/>
  <c r="BX11"/>
  <c r="BX12"/>
  <c r="BX13"/>
  <c r="BX14"/>
  <c r="BX15"/>
  <c r="BX16"/>
  <c r="BX17"/>
  <c r="BX18"/>
  <c r="BX19"/>
  <c r="BX20"/>
  <c r="BX21"/>
  <c r="BX23"/>
  <c r="BX24"/>
  <c r="Z26"/>
  <c r="Y3"/>
  <c r="CL22" l="1"/>
  <c r="CF22"/>
  <c r="CS26" i="8"/>
  <c r="CP3" i="10"/>
  <c r="CR3" s="1"/>
  <c r="BY25" i="7"/>
  <c r="BX25" s="1"/>
  <c r="CD25" s="1"/>
  <c r="BY24"/>
  <c r="BX24" s="1"/>
  <c r="CD24" s="1"/>
  <c r="CD24" i="5"/>
  <c r="CD23"/>
  <c r="CD21"/>
  <c r="CD20"/>
  <c r="CD19"/>
  <c r="CD18"/>
  <c r="CD17"/>
  <c r="CD16"/>
  <c r="CD15"/>
  <c r="CD14"/>
  <c r="CD13"/>
  <c r="CD12"/>
  <c r="CD11"/>
  <c r="CD10"/>
  <c r="CD9"/>
  <c r="CD8"/>
  <c r="CD7"/>
  <c r="CD6"/>
  <c r="CD5"/>
  <c r="CD4"/>
  <c r="Y26"/>
  <c r="AE3"/>
  <c r="AG3" s="1"/>
  <c r="CR26" i="10" l="1"/>
  <c r="F37" s="1"/>
  <c r="CP26"/>
  <c r="CF4" i="5"/>
  <c r="CE4" s="1"/>
  <c r="CL4" s="1"/>
  <c r="CF5"/>
  <c r="CE5" s="1"/>
  <c r="CL5" s="1"/>
  <c r="C5" i="7" s="1"/>
  <c r="E5" s="1"/>
  <c r="D5" s="1"/>
  <c r="J5" s="1"/>
  <c r="L5" s="1"/>
  <c r="K5" s="1"/>
  <c r="Q5" s="1"/>
  <c r="S5" s="1"/>
  <c r="R5" s="1"/>
  <c r="X5" s="1"/>
  <c r="Z5" s="1"/>
  <c r="Y5" s="1"/>
  <c r="AE5" s="1"/>
  <c r="AG5" s="1"/>
  <c r="AF5" s="1"/>
  <c r="AL5" s="1"/>
  <c r="AN5" s="1"/>
  <c r="AM5" s="1"/>
  <c r="AU5" s="1"/>
  <c r="AW5" s="1"/>
  <c r="AV5" s="1"/>
  <c r="BB5" s="1"/>
  <c r="BD5" s="1"/>
  <c r="BC5" s="1"/>
  <c r="BI5" s="1"/>
  <c r="BK5" s="1"/>
  <c r="BJ5" s="1"/>
  <c r="BP5" s="1"/>
  <c r="BR5" s="1"/>
  <c r="BQ5" s="1"/>
  <c r="BW5" s="1"/>
  <c r="BY5" s="1"/>
  <c r="BX5" s="1"/>
  <c r="CD5" s="1"/>
  <c r="CF6" i="5"/>
  <c r="CE6" s="1"/>
  <c r="CL6" s="1"/>
  <c r="C6" i="7" s="1"/>
  <c r="E6" s="1"/>
  <c r="D6" s="1"/>
  <c r="J6" s="1"/>
  <c r="L6" s="1"/>
  <c r="K6" s="1"/>
  <c r="Q6" s="1"/>
  <c r="S6" s="1"/>
  <c r="R6" s="1"/>
  <c r="X6" s="1"/>
  <c r="Z6" s="1"/>
  <c r="Y6" s="1"/>
  <c r="AE6" s="1"/>
  <c r="AG6" s="1"/>
  <c r="AF6" s="1"/>
  <c r="AL6" s="1"/>
  <c r="AN6" s="1"/>
  <c r="AM6" s="1"/>
  <c r="AU6" s="1"/>
  <c r="AW6" s="1"/>
  <c r="AV6" s="1"/>
  <c r="BB6" s="1"/>
  <c r="BD6" s="1"/>
  <c r="BC6" s="1"/>
  <c r="BI6" s="1"/>
  <c r="BK6" s="1"/>
  <c r="BJ6" s="1"/>
  <c r="BP6" s="1"/>
  <c r="BR6" s="1"/>
  <c r="BQ6" s="1"/>
  <c r="BW6" s="1"/>
  <c r="BY6" s="1"/>
  <c r="BX6" s="1"/>
  <c r="CD6" s="1"/>
  <c r="CF7" i="5"/>
  <c r="CE7" s="1"/>
  <c r="CL7" s="1"/>
  <c r="C7" i="7" s="1"/>
  <c r="E7" s="1"/>
  <c r="D7" s="1"/>
  <c r="J7" s="1"/>
  <c r="L7" s="1"/>
  <c r="K7" s="1"/>
  <c r="Q7" s="1"/>
  <c r="S7" s="1"/>
  <c r="R7" s="1"/>
  <c r="X7" s="1"/>
  <c r="Z7" s="1"/>
  <c r="Y7" s="1"/>
  <c r="AE7" s="1"/>
  <c r="AG7" s="1"/>
  <c r="AF7" s="1"/>
  <c r="AL7" s="1"/>
  <c r="AN7" s="1"/>
  <c r="AM7" s="1"/>
  <c r="AU7" s="1"/>
  <c r="AW7" s="1"/>
  <c r="AV7" s="1"/>
  <c r="BB7" s="1"/>
  <c r="BD7" s="1"/>
  <c r="BC7" s="1"/>
  <c r="BI7" s="1"/>
  <c r="BK7" s="1"/>
  <c r="BJ7" s="1"/>
  <c r="BP7" s="1"/>
  <c r="BR7" s="1"/>
  <c r="BQ7" s="1"/>
  <c r="BW7" s="1"/>
  <c r="BY7" s="1"/>
  <c r="BX7" s="1"/>
  <c r="CD7" s="1"/>
  <c r="CF8" i="5"/>
  <c r="CE8" s="1"/>
  <c r="CL8" s="1"/>
  <c r="C8" i="7" s="1"/>
  <c r="E8" s="1"/>
  <c r="D8" s="1"/>
  <c r="J8" s="1"/>
  <c r="L8" s="1"/>
  <c r="K8" s="1"/>
  <c r="Q8" s="1"/>
  <c r="S8" s="1"/>
  <c r="R8" s="1"/>
  <c r="X8" s="1"/>
  <c r="Z8" s="1"/>
  <c r="Y8" s="1"/>
  <c r="AE8" s="1"/>
  <c r="AG8" s="1"/>
  <c r="AF8" s="1"/>
  <c r="AL8" s="1"/>
  <c r="AN8" s="1"/>
  <c r="AM8" s="1"/>
  <c r="AU8" s="1"/>
  <c r="AW8" s="1"/>
  <c r="AV8" s="1"/>
  <c r="BB8" s="1"/>
  <c r="BD8" s="1"/>
  <c r="BC8" s="1"/>
  <c r="BI8" s="1"/>
  <c r="BK8" s="1"/>
  <c r="BJ8" s="1"/>
  <c r="BP8" s="1"/>
  <c r="BR8" s="1"/>
  <c r="BQ8" s="1"/>
  <c r="BW8" s="1"/>
  <c r="BY8" s="1"/>
  <c r="BX8" s="1"/>
  <c r="CD8" s="1"/>
  <c r="CF9" i="5"/>
  <c r="CE9" s="1"/>
  <c r="CL9" s="1"/>
  <c r="C9" i="7" s="1"/>
  <c r="E9" s="1"/>
  <c r="D9" s="1"/>
  <c r="J9" s="1"/>
  <c r="L9" s="1"/>
  <c r="K9" s="1"/>
  <c r="Q9" s="1"/>
  <c r="S9" s="1"/>
  <c r="R9" s="1"/>
  <c r="X9" s="1"/>
  <c r="Z9" s="1"/>
  <c r="Y9" s="1"/>
  <c r="AE9" s="1"/>
  <c r="AG9" s="1"/>
  <c r="AF9" s="1"/>
  <c r="AL9" s="1"/>
  <c r="AN9" s="1"/>
  <c r="AM9" s="1"/>
  <c r="AU9" s="1"/>
  <c r="AW9" s="1"/>
  <c r="AV9" s="1"/>
  <c r="BB9" s="1"/>
  <c r="BD9" s="1"/>
  <c r="BC9" s="1"/>
  <c r="BI9" s="1"/>
  <c r="BK9" s="1"/>
  <c r="BJ9" s="1"/>
  <c r="BP9" s="1"/>
  <c r="BR9" s="1"/>
  <c r="BQ9" s="1"/>
  <c r="BW9" s="1"/>
  <c r="BY9" s="1"/>
  <c r="BX9" s="1"/>
  <c r="CD9" s="1"/>
  <c r="CF11" i="5"/>
  <c r="CE11" s="1"/>
  <c r="CL11" s="1"/>
  <c r="C11" i="7" s="1"/>
  <c r="E11" s="1"/>
  <c r="D11" s="1"/>
  <c r="J11" s="1"/>
  <c r="L11" s="1"/>
  <c r="K11" s="1"/>
  <c r="Q11" s="1"/>
  <c r="S11" s="1"/>
  <c r="R11" s="1"/>
  <c r="X11" s="1"/>
  <c r="Z11" s="1"/>
  <c r="Y11" s="1"/>
  <c r="AE11" s="1"/>
  <c r="AG11" s="1"/>
  <c r="AF11" s="1"/>
  <c r="AL11" s="1"/>
  <c r="AN11" s="1"/>
  <c r="AM11" s="1"/>
  <c r="AU11" s="1"/>
  <c r="AW11" s="1"/>
  <c r="AV11" s="1"/>
  <c r="BB11" s="1"/>
  <c r="BD11" s="1"/>
  <c r="BC11" s="1"/>
  <c r="BI11" s="1"/>
  <c r="BK11" s="1"/>
  <c r="BJ11" s="1"/>
  <c r="BP11" s="1"/>
  <c r="BR11" s="1"/>
  <c r="BQ11" s="1"/>
  <c r="BW11" s="1"/>
  <c r="BY11" s="1"/>
  <c r="BX11" s="1"/>
  <c r="CD11" s="1"/>
  <c r="CF12" i="5"/>
  <c r="CE12" s="1"/>
  <c r="CL12" s="1"/>
  <c r="C12" i="7" s="1"/>
  <c r="E12" s="1"/>
  <c r="D12" s="1"/>
  <c r="J12" s="1"/>
  <c r="L12" s="1"/>
  <c r="K12" s="1"/>
  <c r="Q12" s="1"/>
  <c r="S12" s="1"/>
  <c r="R12" s="1"/>
  <c r="X12" s="1"/>
  <c r="Z12" s="1"/>
  <c r="Y12" s="1"/>
  <c r="AE12" s="1"/>
  <c r="AG12" s="1"/>
  <c r="AF12" s="1"/>
  <c r="AL12" s="1"/>
  <c r="AN12" s="1"/>
  <c r="AM12" s="1"/>
  <c r="AU12" s="1"/>
  <c r="AW12" s="1"/>
  <c r="AV12" s="1"/>
  <c r="BB12" s="1"/>
  <c r="BD12" s="1"/>
  <c r="BC12" s="1"/>
  <c r="BI12" s="1"/>
  <c r="BK12" s="1"/>
  <c r="BJ12" s="1"/>
  <c r="BP12" s="1"/>
  <c r="BR12" s="1"/>
  <c r="BQ12" s="1"/>
  <c r="BW12" s="1"/>
  <c r="BY12" s="1"/>
  <c r="BX12" s="1"/>
  <c r="CD12" s="1"/>
  <c r="CF13" i="5"/>
  <c r="CE13" s="1"/>
  <c r="CL13" s="1"/>
  <c r="C13" i="7" s="1"/>
  <c r="E13" s="1"/>
  <c r="D13" s="1"/>
  <c r="J13" s="1"/>
  <c r="L13" s="1"/>
  <c r="K13" s="1"/>
  <c r="Q13" s="1"/>
  <c r="S13" s="1"/>
  <c r="R13" s="1"/>
  <c r="X13" s="1"/>
  <c r="Z13" s="1"/>
  <c r="Y13" s="1"/>
  <c r="AE13" s="1"/>
  <c r="AG13" s="1"/>
  <c r="AF13" s="1"/>
  <c r="AL13" s="1"/>
  <c r="AN13" s="1"/>
  <c r="AM13" s="1"/>
  <c r="AU13" s="1"/>
  <c r="AW13" s="1"/>
  <c r="AV13" s="1"/>
  <c r="BB13" s="1"/>
  <c r="BD13" s="1"/>
  <c r="BC13" s="1"/>
  <c r="BI13" s="1"/>
  <c r="BK13" s="1"/>
  <c r="BJ13" s="1"/>
  <c r="BP13" s="1"/>
  <c r="BR13" s="1"/>
  <c r="BQ13" s="1"/>
  <c r="BW13" s="1"/>
  <c r="BY13" s="1"/>
  <c r="BX13" s="1"/>
  <c r="CD13" s="1"/>
  <c r="CF14" i="5"/>
  <c r="CE14" s="1"/>
  <c r="CL14" s="1"/>
  <c r="C14" i="7" s="1"/>
  <c r="E14" s="1"/>
  <c r="D14" s="1"/>
  <c r="J14" s="1"/>
  <c r="L14" s="1"/>
  <c r="K14" s="1"/>
  <c r="Q14" s="1"/>
  <c r="S14" s="1"/>
  <c r="R14" s="1"/>
  <c r="X14" s="1"/>
  <c r="Z14" s="1"/>
  <c r="Y14" s="1"/>
  <c r="AE14" s="1"/>
  <c r="AG14" s="1"/>
  <c r="AF14" s="1"/>
  <c r="AL14" s="1"/>
  <c r="AN14" s="1"/>
  <c r="AM14" s="1"/>
  <c r="AU14" s="1"/>
  <c r="AW14" s="1"/>
  <c r="AV14" s="1"/>
  <c r="BB14" s="1"/>
  <c r="BD14" s="1"/>
  <c r="BC14" s="1"/>
  <c r="BI14" s="1"/>
  <c r="BK14" s="1"/>
  <c r="BJ14" s="1"/>
  <c r="BP14" s="1"/>
  <c r="BR14" s="1"/>
  <c r="BQ14" s="1"/>
  <c r="BW14" s="1"/>
  <c r="BY14" s="1"/>
  <c r="BX14" s="1"/>
  <c r="CD14" s="1"/>
  <c r="CF15" i="5"/>
  <c r="CE15" s="1"/>
  <c r="CL15" s="1"/>
  <c r="C15" i="7" s="1"/>
  <c r="E15" s="1"/>
  <c r="D15" s="1"/>
  <c r="J15" s="1"/>
  <c r="L15" s="1"/>
  <c r="K15" s="1"/>
  <c r="Q15" s="1"/>
  <c r="S15" s="1"/>
  <c r="R15" s="1"/>
  <c r="X15" s="1"/>
  <c r="Z15" s="1"/>
  <c r="Y15" s="1"/>
  <c r="AE15" s="1"/>
  <c r="AG15" s="1"/>
  <c r="AF15" s="1"/>
  <c r="AL15" s="1"/>
  <c r="AN15" s="1"/>
  <c r="AM15" s="1"/>
  <c r="AU15" s="1"/>
  <c r="AW15" s="1"/>
  <c r="AV15" s="1"/>
  <c r="BB15" s="1"/>
  <c r="BD15" s="1"/>
  <c r="BC15" s="1"/>
  <c r="BI15" s="1"/>
  <c r="BK15" s="1"/>
  <c r="BJ15" s="1"/>
  <c r="BP15" s="1"/>
  <c r="BR15" s="1"/>
  <c r="BQ15" s="1"/>
  <c r="BW15" s="1"/>
  <c r="BY15" s="1"/>
  <c r="BX15" s="1"/>
  <c r="CD15" s="1"/>
  <c r="CF16" i="5"/>
  <c r="CE16" s="1"/>
  <c r="CL16" s="1"/>
  <c r="C16" i="7" s="1"/>
  <c r="E16" s="1"/>
  <c r="D16" s="1"/>
  <c r="J16" s="1"/>
  <c r="L16" s="1"/>
  <c r="K16" s="1"/>
  <c r="Q16" s="1"/>
  <c r="S16" s="1"/>
  <c r="R16" s="1"/>
  <c r="X16" s="1"/>
  <c r="Z16" s="1"/>
  <c r="Y16" s="1"/>
  <c r="AE16" s="1"/>
  <c r="AG16" s="1"/>
  <c r="AF16" s="1"/>
  <c r="AL16" s="1"/>
  <c r="AN16" s="1"/>
  <c r="AM16" s="1"/>
  <c r="AU16" s="1"/>
  <c r="AW16" s="1"/>
  <c r="AV16" s="1"/>
  <c r="BB16" s="1"/>
  <c r="BD16" s="1"/>
  <c r="BC16" s="1"/>
  <c r="BI16" s="1"/>
  <c r="BK16" s="1"/>
  <c r="BJ16" s="1"/>
  <c r="BP16" s="1"/>
  <c r="BR16" s="1"/>
  <c r="BQ16" s="1"/>
  <c r="BW16" s="1"/>
  <c r="BY16" s="1"/>
  <c r="BX16" s="1"/>
  <c r="CD16" s="1"/>
  <c r="CF17" i="5"/>
  <c r="CE17" s="1"/>
  <c r="CL17" s="1"/>
  <c r="C17" i="7" s="1"/>
  <c r="E17" s="1"/>
  <c r="D17" s="1"/>
  <c r="J17" s="1"/>
  <c r="L17" s="1"/>
  <c r="K17" s="1"/>
  <c r="Q17" s="1"/>
  <c r="S17" s="1"/>
  <c r="R17" s="1"/>
  <c r="X17" s="1"/>
  <c r="Z17" s="1"/>
  <c r="Y17" s="1"/>
  <c r="AE17" s="1"/>
  <c r="AG17" s="1"/>
  <c r="AF17" s="1"/>
  <c r="AL17" s="1"/>
  <c r="AN17" s="1"/>
  <c r="AM17" s="1"/>
  <c r="AU17" s="1"/>
  <c r="AW17" s="1"/>
  <c r="AV17" s="1"/>
  <c r="BB17" s="1"/>
  <c r="BD17" s="1"/>
  <c r="BC17" s="1"/>
  <c r="BI17" s="1"/>
  <c r="BK17" s="1"/>
  <c r="BJ17" s="1"/>
  <c r="BP17" s="1"/>
  <c r="BR17" s="1"/>
  <c r="BQ17" s="1"/>
  <c r="BW17" s="1"/>
  <c r="BY17" s="1"/>
  <c r="BX17" s="1"/>
  <c r="CD17" s="1"/>
  <c r="CF18" i="5"/>
  <c r="CE18" s="1"/>
  <c r="CL18" s="1"/>
  <c r="C18" i="7" s="1"/>
  <c r="E18" s="1"/>
  <c r="D18" s="1"/>
  <c r="J18" s="1"/>
  <c r="L18" s="1"/>
  <c r="K18" s="1"/>
  <c r="Q18" s="1"/>
  <c r="S18" s="1"/>
  <c r="R18" s="1"/>
  <c r="X18" s="1"/>
  <c r="Z18" s="1"/>
  <c r="Y18" s="1"/>
  <c r="AE18" s="1"/>
  <c r="AG18" s="1"/>
  <c r="AF18" s="1"/>
  <c r="AL18" s="1"/>
  <c r="AN18" s="1"/>
  <c r="AM18" s="1"/>
  <c r="AU18" s="1"/>
  <c r="AW18" s="1"/>
  <c r="AV18" s="1"/>
  <c r="BB18" s="1"/>
  <c r="BD18" s="1"/>
  <c r="BC18" s="1"/>
  <c r="BI18" s="1"/>
  <c r="BK18" s="1"/>
  <c r="BJ18" s="1"/>
  <c r="BP18" s="1"/>
  <c r="BR18" s="1"/>
  <c r="BQ18" s="1"/>
  <c r="BW18" s="1"/>
  <c r="BY18" s="1"/>
  <c r="BX18" s="1"/>
  <c r="CD18" s="1"/>
  <c r="CF19" i="5"/>
  <c r="CE19" s="1"/>
  <c r="CL19" s="1"/>
  <c r="C19" i="7" s="1"/>
  <c r="E19" s="1"/>
  <c r="D19" s="1"/>
  <c r="J19" s="1"/>
  <c r="L19" s="1"/>
  <c r="K19" s="1"/>
  <c r="Q19" s="1"/>
  <c r="S19" s="1"/>
  <c r="R19" s="1"/>
  <c r="X19" s="1"/>
  <c r="Z19" s="1"/>
  <c r="Y19" s="1"/>
  <c r="AE19" s="1"/>
  <c r="AG19" s="1"/>
  <c r="AF19" s="1"/>
  <c r="AL19" s="1"/>
  <c r="AN19" s="1"/>
  <c r="AM19" s="1"/>
  <c r="AU19" s="1"/>
  <c r="AW19" s="1"/>
  <c r="AV19" s="1"/>
  <c r="BB19" s="1"/>
  <c r="BD19" s="1"/>
  <c r="BC19" s="1"/>
  <c r="BI19" s="1"/>
  <c r="BK19" s="1"/>
  <c r="BJ19" s="1"/>
  <c r="BP19" s="1"/>
  <c r="BR19" s="1"/>
  <c r="BQ19" s="1"/>
  <c r="BW19" s="1"/>
  <c r="BY19" s="1"/>
  <c r="BX19" s="1"/>
  <c r="CD19" s="1"/>
  <c r="CF20" i="5"/>
  <c r="CE20" s="1"/>
  <c r="CL20" s="1"/>
  <c r="C20" i="7" s="1"/>
  <c r="E20" s="1"/>
  <c r="D20" s="1"/>
  <c r="J20" s="1"/>
  <c r="L20" s="1"/>
  <c r="K20" s="1"/>
  <c r="Q20" s="1"/>
  <c r="S20" s="1"/>
  <c r="R20" s="1"/>
  <c r="X20" s="1"/>
  <c r="Z20" s="1"/>
  <c r="Y20" s="1"/>
  <c r="AE20" s="1"/>
  <c r="AG20" s="1"/>
  <c r="AF20" s="1"/>
  <c r="AL20" s="1"/>
  <c r="AN20" s="1"/>
  <c r="AM20" s="1"/>
  <c r="AU20" s="1"/>
  <c r="AW20" s="1"/>
  <c r="AV20" s="1"/>
  <c r="BB20" s="1"/>
  <c r="BD20" s="1"/>
  <c r="BC20" s="1"/>
  <c r="BI20" s="1"/>
  <c r="BK20" s="1"/>
  <c r="BJ20" s="1"/>
  <c r="BP20" s="1"/>
  <c r="BR20" s="1"/>
  <c r="BQ20" s="1"/>
  <c r="BW20" s="1"/>
  <c r="BY20" s="1"/>
  <c r="BX20" s="1"/>
  <c r="CD20" s="1"/>
  <c r="CF21" i="5"/>
  <c r="CE21" s="1"/>
  <c r="CL21" s="1"/>
  <c r="C21" i="7" s="1"/>
  <c r="E21" s="1"/>
  <c r="D21" s="1"/>
  <c r="J21" s="1"/>
  <c r="L21" s="1"/>
  <c r="K21" s="1"/>
  <c r="Q21" s="1"/>
  <c r="S21" s="1"/>
  <c r="R21" s="1"/>
  <c r="X21" s="1"/>
  <c r="Z21" s="1"/>
  <c r="Y21" s="1"/>
  <c r="AE21" s="1"/>
  <c r="AG21" s="1"/>
  <c r="AF21" s="1"/>
  <c r="AL21" s="1"/>
  <c r="AN21" s="1"/>
  <c r="AM21" s="1"/>
  <c r="AU21" s="1"/>
  <c r="AW21" s="1"/>
  <c r="AV21" s="1"/>
  <c r="BB21" s="1"/>
  <c r="BD21" s="1"/>
  <c r="BC21" s="1"/>
  <c r="BI21" s="1"/>
  <c r="BK21" s="1"/>
  <c r="BJ21" s="1"/>
  <c r="BP21" s="1"/>
  <c r="BR21" s="1"/>
  <c r="BQ21" s="1"/>
  <c r="BW21" s="1"/>
  <c r="BY21" s="1"/>
  <c r="BX21" s="1"/>
  <c r="CD21" s="1"/>
  <c r="CF24"/>
  <c r="CE24" s="1"/>
  <c r="CL24" s="1"/>
  <c r="CF25"/>
  <c r="CE25" s="1"/>
  <c r="CF23" i="5"/>
  <c r="CE23" s="1"/>
  <c r="CL23" s="1"/>
  <c r="C22" i="7" s="1"/>
  <c r="E22" s="1"/>
  <c r="D22" s="1"/>
  <c r="J22" s="1"/>
  <c r="L22" s="1"/>
  <c r="K22" s="1"/>
  <c r="Q22" s="1"/>
  <c r="S22" s="1"/>
  <c r="R22" s="1"/>
  <c r="X22" s="1"/>
  <c r="Z22" s="1"/>
  <c r="Y22" s="1"/>
  <c r="AE22" s="1"/>
  <c r="AG22" s="1"/>
  <c r="AF22" s="1"/>
  <c r="AL22" s="1"/>
  <c r="AN22" s="1"/>
  <c r="AM22" s="1"/>
  <c r="AU22" s="1"/>
  <c r="AW22" s="1"/>
  <c r="AV22" s="1"/>
  <c r="BB22" s="1"/>
  <c r="BD22" s="1"/>
  <c r="BC22" s="1"/>
  <c r="BI22" s="1"/>
  <c r="BK22" s="1"/>
  <c r="BJ22" s="1"/>
  <c r="BP22" s="1"/>
  <c r="BR22" s="1"/>
  <c r="BQ22" s="1"/>
  <c r="BW22" s="1"/>
  <c r="BY22" s="1"/>
  <c r="BX22" s="1"/>
  <c r="CD22" s="1"/>
  <c r="CF22" s="1"/>
  <c r="CE22" s="1"/>
  <c r="CL22" s="1"/>
  <c r="C22" i="8" s="1"/>
  <c r="E22" s="1"/>
  <c r="CF24" i="5"/>
  <c r="CE24" s="1"/>
  <c r="CL24" s="1"/>
  <c r="C23" i="7" s="1"/>
  <c r="J23" s="1"/>
  <c r="L23" s="1"/>
  <c r="K23" s="1"/>
  <c r="Q23" s="1"/>
  <c r="S23" s="1"/>
  <c r="R23" s="1"/>
  <c r="X23" s="1"/>
  <c r="Z23" s="1"/>
  <c r="Y23" s="1"/>
  <c r="AE23" s="1"/>
  <c r="AG23" s="1"/>
  <c r="AF23" s="1"/>
  <c r="AL23" s="1"/>
  <c r="AN23" s="1"/>
  <c r="AM23" s="1"/>
  <c r="AU23" s="1"/>
  <c r="AW23" s="1"/>
  <c r="AV23" s="1"/>
  <c r="BB23" s="1"/>
  <c r="BD23" s="1"/>
  <c r="BC23" s="1"/>
  <c r="BI23" s="1"/>
  <c r="BK23" s="1"/>
  <c r="BJ23" s="1"/>
  <c r="BP23" s="1"/>
  <c r="BR23" s="1"/>
  <c r="BQ23" s="1"/>
  <c r="BW23" s="1"/>
  <c r="BY23" s="1"/>
  <c r="BX23" s="1"/>
  <c r="CD23" s="1"/>
  <c r="CF23" s="1"/>
  <c r="CE23" s="1"/>
  <c r="CL23" s="1"/>
  <c r="CF10" i="5"/>
  <c r="CE10" s="1"/>
  <c r="CL10" s="1"/>
  <c r="C10" i="7" s="1"/>
  <c r="E10" s="1"/>
  <c r="D10" s="1"/>
  <c r="J10" s="1"/>
  <c r="L10" s="1"/>
  <c r="K10" s="1"/>
  <c r="Q10" s="1"/>
  <c r="S10" s="1"/>
  <c r="R10" s="1"/>
  <c r="X10" s="1"/>
  <c r="Z10" s="1"/>
  <c r="Y10" s="1"/>
  <c r="AE10" s="1"/>
  <c r="AG10" s="1"/>
  <c r="AF10" s="1"/>
  <c r="AL10" s="1"/>
  <c r="AN10" s="1"/>
  <c r="AM10" s="1"/>
  <c r="AU10" s="1"/>
  <c r="AW10" s="1"/>
  <c r="AV10" s="1"/>
  <c r="BB10" s="1"/>
  <c r="BD10" s="1"/>
  <c r="BC10" s="1"/>
  <c r="BI10" s="1"/>
  <c r="BK10" s="1"/>
  <c r="BJ10" s="1"/>
  <c r="BP10" s="1"/>
  <c r="BR10" s="1"/>
  <c r="BQ10" s="1"/>
  <c r="BW10" s="1"/>
  <c r="BY10" s="1"/>
  <c r="BX10" s="1"/>
  <c r="CD10" s="1"/>
  <c r="AE26" i="5"/>
  <c r="C24" i="8" l="1"/>
  <c r="J24" s="1"/>
  <c r="L24" s="1"/>
  <c r="K24" s="1"/>
  <c r="Q24" s="1"/>
  <c r="S24" s="1"/>
  <c r="R24" s="1"/>
  <c r="X24" s="1"/>
  <c r="Z24" s="1"/>
  <c r="Y24" s="1"/>
  <c r="AE24" s="1"/>
  <c r="AG24" s="1"/>
  <c r="AF24" s="1"/>
  <c r="AL24" s="1"/>
  <c r="AN24" s="1"/>
  <c r="AM24" s="1"/>
  <c r="AU24" s="1"/>
  <c r="C23"/>
  <c r="CF10" i="7"/>
  <c r="CE10" s="1"/>
  <c r="CL10"/>
  <c r="CF21"/>
  <c r="CE21" s="1"/>
  <c r="CL21"/>
  <c r="CF20"/>
  <c r="CE20" s="1"/>
  <c r="CL20"/>
  <c r="CF19"/>
  <c r="CE19" s="1"/>
  <c r="CL19"/>
  <c r="CF18"/>
  <c r="CE18" s="1"/>
  <c r="CL18"/>
  <c r="CF17"/>
  <c r="CE17" s="1"/>
  <c r="CL17"/>
  <c r="CF16"/>
  <c r="CE16" s="1"/>
  <c r="CL16"/>
  <c r="CF15"/>
  <c r="CE15" s="1"/>
  <c r="CL15"/>
  <c r="CF14"/>
  <c r="CE14" s="1"/>
  <c r="CL14"/>
  <c r="CF13"/>
  <c r="CE13" s="1"/>
  <c r="CL13"/>
  <c r="CF12"/>
  <c r="CE12" s="1"/>
  <c r="CL12"/>
  <c r="CF11"/>
  <c r="CE11" s="1"/>
  <c r="CL11"/>
  <c r="CF9"/>
  <c r="CE9" s="1"/>
  <c r="CL9"/>
  <c r="CF8"/>
  <c r="CE8" s="1"/>
  <c r="CL8"/>
  <c r="CF7"/>
  <c r="CE7" s="1"/>
  <c r="CL7"/>
  <c r="CF6"/>
  <c r="CE6" s="1"/>
  <c r="CL6"/>
  <c r="CF5"/>
  <c r="CE5" s="1"/>
  <c r="CL5"/>
  <c r="D22" i="8"/>
  <c r="CL25" i="7"/>
  <c r="C25" i="8" s="1"/>
  <c r="J25" s="1"/>
  <c r="L25" s="1"/>
  <c r="K25" s="1"/>
  <c r="Q25" s="1"/>
  <c r="S25" s="1"/>
  <c r="R25" s="1"/>
  <c r="X25" s="1"/>
  <c r="Z25" s="1"/>
  <c r="Y25" s="1"/>
  <c r="AE25" s="1"/>
  <c r="AG25" s="1"/>
  <c r="AF25" s="1"/>
  <c r="AL25" s="1"/>
  <c r="AN25" s="1"/>
  <c r="AM25" s="1"/>
  <c r="AU25" s="1"/>
  <c r="AW25" s="1"/>
  <c r="AV25" s="1"/>
  <c r="BB25" s="1"/>
  <c r="BD25" s="1"/>
  <c r="BC25" s="1"/>
  <c r="BI25" s="1"/>
  <c r="BK25" s="1"/>
  <c r="BJ25" s="1"/>
  <c r="BP25" s="1"/>
  <c r="BR25" s="1"/>
  <c r="BQ25" s="1"/>
  <c r="BW25" s="1"/>
  <c r="BY25" s="1"/>
  <c r="BX25" s="1"/>
  <c r="CD25" s="1"/>
  <c r="CF25" s="1"/>
  <c r="CE25" s="1"/>
  <c r="CL25" s="1"/>
  <c r="C25" i="10" s="1"/>
  <c r="J25" s="1"/>
  <c r="L25" s="1"/>
  <c r="K25" s="1"/>
  <c r="Q25" s="1"/>
  <c r="S25" s="1"/>
  <c r="R25" s="1"/>
  <c r="X25" s="1"/>
  <c r="Z25" s="1"/>
  <c r="Y25" s="1"/>
  <c r="AE25" s="1"/>
  <c r="AG25" s="1"/>
  <c r="AF25" s="1"/>
  <c r="AL25" s="1"/>
  <c r="AN25" s="1"/>
  <c r="AM25" s="1"/>
  <c r="AU25" s="1"/>
  <c r="AW25" s="1"/>
  <c r="AV25" s="1"/>
  <c r="BB25" s="1"/>
  <c r="BD25" s="1"/>
  <c r="BC25" s="1"/>
  <c r="BI25" s="1"/>
  <c r="BK25" s="1"/>
  <c r="BJ25" s="1"/>
  <c r="BP25" s="1"/>
  <c r="BR25" s="1"/>
  <c r="BQ25" s="1"/>
  <c r="BW25" s="1"/>
  <c r="BY25" s="1"/>
  <c r="BX25" s="1"/>
  <c r="CD25" s="1"/>
  <c r="CF25" s="1"/>
  <c r="CE25" s="1"/>
  <c r="CL25" s="1"/>
  <c r="AU23" i="11" s="1"/>
  <c r="AW23" s="1"/>
  <c r="AV23" s="1"/>
  <c r="BB23" s="1"/>
  <c r="BD23" s="1"/>
  <c r="BC23" s="1"/>
  <c r="BI23" s="1"/>
  <c r="BK23" s="1"/>
  <c r="BJ23" s="1"/>
  <c r="BP23" s="1"/>
  <c r="BR23" s="1"/>
  <c r="BQ23" s="1"/>
  <c r="BW23" s="1"/>
  <c r="BY23" s="1"/>
  <c r="BX23" s="1"/>
  <c r="CD23" s="1"/>
  <c r="CF23" s="1"/>
  <c r="CE23" s="1"/>
  <c r="CL23" s="1"/>
  <c r="C22" i="12" s="1"/>
  <c r="C4" i="7"/>
  <c r="AG26" i="5"/>
  <c r="AF3"/>
  <c r="M38" i="10" l="1"/>
  <c r="M34" s="1"/>
  <c r="F42"/>
  <c r="AW24" i="8"/>
  <c r="AV24" s="1"/>
  <c r="BC24" s="1"/>
  <c r="BB24"/>
  <c r="C5"/>
  <c r="E5" s="1"/>
  <c r="D5" s="1"/>
  <c r="J5" s="1"/>
  <c r="L5" s="1"/>
  <c r="K5" s="1"/>
  <c r="Q5" s="1"/>
  <c r="S5" s="1"/>
  <c r="R5" s="1"/>
  <c r="X5" s="1"/>
  <c r="Z5" s="1"/>
  <c r="Y5" s="1"/>
  <c r="AE5" s="1"/>
  <c r="AG5" s="1"/>
  <c r="AF5" s="1"/>
  <c r="AL5" s="1"/>
  <c r="AN5" s="1"/>
  <c r="AM5" s="1"/>
  <c r="AU5" s="1"/>
  <c r="C6"/>
  <c r="E6" s="1"/>
  <c r="D6" s="1"/>
  <c r="J6" s="1"/>
  <c r="L6" s="1"/>
  <c r="K6" s="1"/>
  <c r="Q6" s="1"/>
  <c r="S6" s="1"/>
  <c r="R6" s="1"/>
  <c r="X6" s="1"/>
  <c r="Z6" s="1"/>
  <c r="Y6" s="1"/>
  <c r="AE6" s="1"/>
  <c r="AG6" s="1"/>
  <c r="AF6" s="1"/>
  <c r="AL6" s="1"/>
  <c r="AN6" s="1"/>
  <c r="AM6" s="1"/>
  <c r="AU6" s="1"/>
  <c r="C7"/>
  <c r="E7" s="1"/>
  <c r="D7" s="1"/>
  <c r="J7" s="1"/>
  <c r="L7" s="1"/>
  <c r="K7" s="1"/>
  <c r="Q7" s="1"/>
  <c r="S7" s="1"/>
  <c r="R7" s="1"/>
  <c r="X7" s="1"/>
  <c r="Z7" s="1"/>
  <c r="Y7" s="1"/>
  <c r="AE7" s="1"/>
  <c r="AG7" s="1"/>
  <c r="AF7" s="1"/>
  <c r="AL7" s="1"/>
  <c r="AN7" s="1"/>
  <c r="AM7" s="1"/>
  <c r="AU7" s="1"/>
  <c r="C8"/>
  <c r="E8" s="1"/>
  <c r="D8" s="1"/>
  <c r="J8" s="1"/>
  <c r="L8" s="1"/>
  <c r="K8" s="1"/>
  <c r="Q8" s="1"/>
  <c r="S8" s="1"/>
  <c r="R8" s="1"/>
  <c r="X8" s="1"/>
  <c r="Z8" s="1"/>
  <c r="Y8" s="1"/>
  <c r="AE8" s="1"/>
  <c r="AG8" s="1"/>
  <c r="AF8" s="1"/>
  <c r="AL8" s="1"/>
  <c r="AN8" s="1"/>
  <c r="AM8" s="1"/>
  <c r="AU8" s="1"/>
  <c r="C9"/>
  <c r="E9" s="1"/>
  <c r="D9" s="1"/>
  <c r="J9" s="1"/>
  <c r="L9" s="1"/>
  <c r="K9" s="1"/>
  <c r="Q9" s="1"/>
  <c r="S9" s="1"/>
  <c r="R9" s="1"/>
  <c r="X9" s="1"/>
  <c r="Z9" s="1"/>
  <c r="Y9" s="1"/>
  <c r="AE9" s="1"/>
  <c r="AG9" s="1"/>
  <c r="AF9" s="1"/>
  <c r="AL9" s="1"/>
  <c r="AN9" s="1"/>
  <c r="AM9" s="1"/>
  <c r="AU9" s="1"/>
  <c r="C11"/>
  <c r="E11" s="1"/>
  <c r="D11" s="1"/>
  <c r="J11" s="1"/>
  <c r="L11" s="1"/>
  <c r="K11" s="1"/>
  <c r="Q11" s="1"/>
  <c r="S11" s="1"/>
  <c r="R11" s="1"/>
  <c r="X11" s="1"/>
  <c r="Z11" s="1"/>
  <c r="Y11" s="1"/>
  <c r="AE11" s="1"/>
  <c r="AG11" s="1"/>
  <c r="AF11" s="1"/>
  <c r="AL11" s="1"/>
  <c r="AN11" s="1"/>
  <c r="AM11" s="1"/>
  <c r="AU11" s="1"/>
  <c r="C12"/>
  <c r="E12" s="1"/>
  <c r="D12" s="1"/>
  <c r="J12" s="1"/>
  <c r="L12" s="1"/>
  <c r="K12" s="1"/>
  <c r="Q12" s="1"/>
  <c r="S12" s="1"/>
  <c r="R12" s="1"/>
  <c r="X12" s="1"/>
  <c r="Z12" s="1"/>
  <c r="Y12" s="1"/>
  <c r="AE12" s="1"/>
  <c r="AG12" s="1"/>
  <c r="AF12" s="1"/>
  <c r="AL12" s="1"/>
  <c r="AN12" s="1"/>
  <c r="AM12" s="1"/>
  <c r="AU12" s="1"/>
  <c r="C13"/>
  <c r="E13" s="1"/>
  <c r="D13" s="1"/>
  <c r="J13" s="1"/>
  <c r="L13" s="1"/>
  <c r="K13" s="1"/>
  <c r="Q13" s="1"/>
  <c r="S13" s="1"/>
  <c r="R13" s="1"/>
  <c r="X13" s="1"/>
  <c r="Z13" s="1"/>
  <c r="Y13" s="1"/>
  <c r="AE13" s="1"/>
  <c r="AG13" s="1"/>
  <c r="AF13" s="1"/>
  <c r="AL13" s="1"/>
  <c r="AN13" s="1"/>
  <c r="AM13" s="1"/>
  <c r="AU13" s="1"/>
  <c r="C14"/>
  <c r="E14" s="1"/>
  <c r="D14" s="1"/>
  <c r="J14" s="1"/>
  <c r="L14" s="1"/>
  <c r="K14" s="1"/>
  <c r="Q14" s="1"/>
  <c r="S14" s="1"/>
  <c r="R14" s="1"/>
  <c r="X14" s="1"/>
  <c r="Z14" s="1"/>
  <c r="Y14" s="1"/>
  <c r="AE14" s="1"/>
  <c r="AG14" s="1"/>
  <c r="AF14" s="1"/>
  <c r="AL14" s="1"/>
  <c r="AN14" s="1"/>
  <c r="AM14" s="1"/>
  <c r="AU14" s="1"/>
  <c r="C15"/>
  <c r="E15" s="1"/>
  <c r="D15" s="1"/>
  <c r="J15" s="1"/>
  <c r="L15" s="1"/>
  <c r="K15" s="1"/>
  <c r="Q15" s="1"/>
  <c r="S15" s="1"/>
  <c r="R15" s="1"/>
  <c r="X15" s="1"/>
  <c r="Z15" s="1"/>
  <c r="Y15" s="1"/>
  <c r="AE15" s="1"/>
  <c r="AG15" s="1"/>
  <c r="AF15" s="1"/>
  <c r="AL15" s="1"/>
  <c r="AN15" s="1"/>
  <c r="AM15" s="1"/>
  <c r="AU15" s="1"/>
  <c r="AW15" s="1"/>
  <c r="AV15" s="1"/>
  <c r="C16"/>
  <c r="E16" s="1"/>
  <c r="D16" s="1"/>
  <c r="J16" s="1"/>
  <c r="L16" s="1"/>
  <c r="K16" s="1"/>
  <c r="Q16" s="1"/>
  <c r="S16" s="1"/>
  <c r="R16" s="1"/>
  <c r="X16" s="1"/>
  <c r="Z16" s="1"/>
  <c r="Y16" s="1"/>
  <c r="AE16" s="1"/>
  <c r="AG16" s="1"/>
  <c r="AF16" s="1"/>
  <c r="AL16" s="1"/>
  <c r="AN16" s="1"/>
  <c r="AM16" s="1"/>
  <c r="AU16" s="1"/>
  <c r="C17"/>
  <c r="E17" s="1"/>
  <c r="D17" s="1"/>
  <c r="J17" s="1"/>
  <c r="L17" s="1"/>
  <c r="K17" s="1"/>
  <c r="Q17" s="1"/>
  <c r="S17" s="1"/>
  <c r="R17" s="1"/>
  <c r="X17" s="1"/>
  <c r="Z17" s="1"/>
  <c r="Y17" s="1"/>
  <c r="AE17" s="1"/>
  <c r="AG17" s="1"/>
  <c r="AF17" s="1"/>
  <c r="AL17" s="1"/>
  <c r="AN17" s="1"/>
  <c r="AM17" s="1"/>
  <c r="AU17" s="1"/>
  <c r="C18"/>
  <c r="E18" s="1"/>
  <c r="D18" s="1"/>
  <c r="J18" s="1"/>
  <c r="L18" s="1"/>
  <c r="K18" s="1"/>
  <c r="Q18" s="1"/>
  <c r="S18" s="1"/>
  <c r="R18" s="1"/>
  <c r="X18" s="1"/>
  <c r="Z18" s="1"/>
  <c r="Y18" s="1"/>
  <c r="AE18" s="1"/>
  <c r="AG18" s="1"/>
  <c r="AF18" s="1"/>
  <c r="AL18" s="1"/>
  <c r="AN18" s="1"/>
  <c r="AM18" s="1"/>
  <c r="AU18" s="1"/>
  <c r="C19"/>
  <c r="E19" s="1"/>
  <c r="D19" s="1"/>
  <c r="J19" s="1"/>
  <c r="L19" s="1"/>
  <c r="K19" s="1"/>
  <c r="Q19" s="1"/>
  <c r="S19" s="1"/>
  <c r="R19" s="1"/>
  <c r="X19" s="1"/>
  <c r="Z19" s="1"/>
  <c r="Y19" s="1"/>
  <c r="AE19" s="1"/>
  <c r="AG19" s="1"/>
  <c r="AF19" s="1"/>
  <c r="AL19" s="1"/>
  <c r="AN19" s="1"/>
  <c r="AM19" s="1"/>
  <c r="AU19" s="1"/>
  <c r="AW19" s="1"/>
  <c r="AV19" s="1"/>
  <c r="C20"/>
  <c r="E20" s="1"/>
  <c r="D20" s="1"/>
  <c r="J20" s="1"/>
  <c r="L20" s="1"/>
  <c r="K20" s="1"/>
  <c r="Q20" s="1"/>
  <c r="S20" s="1"/>
  <c r="R20" s="1"/>
  <c r="X20" s="1"/>
  <c r="Z20" s="1"/>
  <c r="Y20" s="1"/>
  <c r="AE20" s="1"/>
  <c r="AG20" s="1"/>
  <c r="AF20" s="1"/>
  <c r="AL20" s="1"/>
  <c r="AN20" s="1"/>
  <c r="AM20" s="1"/>
  <c r="AU20" s="1"/>
  <c r="C21"/>
  <c r="E21" s="1"/>
  <c r="D21" s="1"/>
  <c r="J21" s="1"/>
  <c r="L21" s="1"/>
  <c r="K21" s="1"/>
  <c r="Q21" s="1"/>
  <c r="S21" s="1"/>
  <c r="R21" s="1"/>
  <c r="X21" s="1"/>
  <c r="Z21" s="1"/>
  <c r="Y21" s="1"/>
  <c r="AE21" s="1"/>
  <c r="AG21" s="1"/>
  <c r="AF21" s="1"/>
  <c r="AL21" s="1"/>
  <c r="AN21" s="1"/>
  <c r="AM21" s="1"/>
  <c r="AU21" s="1"/>
  <c r="C10"/>
  <c r="E10" s="1"/>
  <c r="D10" s="1"/>
  <c r="J10" s="1"/>
  <c r="L10" s="1"/>
  <c r="K10" s="1"/>
  <c r="Q10" s="1"/>
  <c r="S10" s="1"/>
  <c r="R10" s="1"/>
  <c r="X10" s="1"/>
  <c r="Z10" s="1"/>
  <c r="Y10" s="1"/>
  <c r="AE10" s="1"/>
  <c r="AG10" s="1"/>
  <c r="AF10" s="1"/>
  <c r="AL10" s="1"/>
  <c r="AN10" s="1"/>
  <c r="AM10" s="1"/>
  <c r="AU10" s="1"/>
  <c r="E23"/>
  <c r="D23" s="1"/>
  <c r="J23"/>
  <c r="L23" s="1"/>
  <c r="K23" s="1"/>
  <c r="Q23" s="1"/>
  <c r="S23" s="1"/>
  <c r="R23" s="1"/>
  <c r="X23" s="1"/>
  <c r="Z23" s="1"/>
  <c r="Y23" s="1"/>
  <c r="AE23" s="1"/>
  <c r="AG23" s="1"/>
  <c r="AF23" s="1"/>
  <c r="AL23" s="1"/>
  <c r="AN23" s="1"/>
  <c r="AM23" s="1"/>
  <c r="AU23" s="1"/>
  <c r="J22"/>
  <c r="E4" i="7"/>
  <c r="AF26" i="5"/>
  <c r="AL3"/>
  <c r="AN3" s="1"/>
  <c r="CT4" i="10" l="1"/>
  <c r="CT3"/>
  <c r="CS6"/>
  <c r="CS5"/>
  <c r="M34" i="11"/>
  <c r="CU5" i="10"/>
  <c r="CP3" i="11" s="1"/>
  <c r="M47" i="10"/>
  <c r="CS25"/>
  <c r="CU25" s="1"/>
  <c r="CP23" i="11" s="1"/>
  <c r="CQ23" s="1"/>
  <c r="E22" i="12" s="1"/>
  <c r="CS24" i="10"/>
  <c r="CU24" s="1"/>
  <c r="CP22" i="11" s="1"/>
  <c r="O31" i="10"/>
  <c r="CS21"/>
  <c r="CU21" s="1"/>
  <c r="CP19" i="11" s="1"/>
  <c r="CQ19" s="1"/>
  <c r="CS22" i="10"/>
  <c r="CU22" s="1"/>
  <c r="CP20" i="11" s="1"/>
  <c r="CQ20" s="1"/>
  <c r="CS7" i="10"/>
  <c r="CU7" s="1"/>
  <c r="CP5" i="11" s="1"/>
  <c r="CQ5" s="1"/>
  <c r="CS23" i="10"/>
  <c r="CU23" s="1"/>
  <c r="CP21" i="11" s="1"/>
  <c r="CQ21" s="1"/>
  <c r="CS20" i="10"/>
  <c r="CU20" s="1"/>
  <c r="CP18" i="11" s="1"/>
  <c r="CQ18" s="1"/>
  <c r="CS19" i="10"/>
  <c r="CU19" s="1"/>
  <c r="CP17" i="11" s="1"/>
  <c r="CQ17" s="1"/>
  <c r="CS18" i="10"/>
  <c r="CU18" s="1"/>
  <c r="CP16" i="11" s="1"/>
  <c r="CQ16" s="1"/>
  <c r="CS17" i="10"/>
  <c r="CU17" s="1"/>
  <c r="CP15" i="11" s="1"/>
  <c r="CQ15" s="1"/>
  <c r="CS16" i="10"/>
  <c r="CU16" s="1"/>
  <c r="CP14" i="11" s="1"/>
  <c r="CQ14" s="1"/>
  <c r="CS15" i="10"/>
  <c r="CU15" s="1"/>
  <c r="CP13" i="11" s="1"/>
  <c r="CQ13" s="1"/>
  <c r="CS14" i="10"/>
  <c r="CU14" s="1"/>
  <c r="CP12" i="11" s="1"/>
  <c r="CQ12" s="1"/>
  <c r="CS13" i="10"/>
  <c r="CU13" s="1"/>
  <c r="CP11" i="11" s="1"/>
  <c r="CS12" i="10"/>
  <c r="CU12" s="1"/>
  <c r="CP10" i="11" s="1"/>
  <c r="CQ10" s="1"/>
  <c r="CS11" i="10"/>
  <c r="CU11" s="1"/>
  <c r="CP9" i="11" s="1"/>
  <c r="CQ9" s="1"/>
  <c r="CS10" i="10"/>
  <c r="CU10" s="1"/>
  <c r="CP8" i="11" s="1"/>
  <c r="CQ8" s="1"/>
  <c r="CS9" i="10"/>
  <c r="CU9" s="1"/>
  <c r="CP7" i="11" s="1"/>
  <c r="CQ7" s="1"/>
  <c r="CS8" i="10"/>
  <c r="CU8" s="1"/>
  <c r="CP6" i="11" s="1"/>
  <c r="CQ6" s="1"/>
  <c r="CU6" i="10"/>
  <c r="CP4" i="11" s="1"/>
  <c r="AW10" i="8"/>
  <c r="AV10" s="1"/>
  <c r="BB10"/>
  <c r="AW21"/>
  <c r="AV21" s="1"/>
  <c r="BB21"/>
  <c r="AW20"/>
  <c r="AV20" s="1"/>
  <c r="BB20"/>
  <c r="AW18"/>
  <c r="AV18" s="1"/>
  <c r="BB18"/>
  <c r="AW17"/>
  <c r="AV17" s="1"/>
  <c r="BB17"/>
  <c r="AW14"/>
  <c r="AV14" s="1"/>
  <c r="BB14"/>
  <c r="AW13"/>
  <c r="AV13" s="1"/>
  <c r="BB13"/>
  <c r="AW12"/>
  <c r="AV12" s="1"/>
  <c r="BB12"/>
  <c r="AW11"/>
  <c r="AV11" s="1"/>
  <c r="BB11"/>
  <c r="AW9"/>
  <c r="AV9" s="1"/>
  <c r="BB9"/>
  <c r="AW8"/>
  <c r="AV8" s="1"/>
  <c r="BB8"/>
  <c r="AW6"/>
  <c r="AV6" s="1"/>
  <c r="BB6"/>
  <c r="AW5"/>
  <c r="AV5" s="1"/>
  <c r="BB5"/>
  <c r="BI24"/>
  <c r="BK24" s="1"/>
  <c r="BJ24" s="1"/>
  <c r="BP24" s="1"/>
  <c r="BR24" s="1"/>
  <c r="BQ24" s="1"/>
  <c r="BW24" s="1"/>
  <c r="BY24" s="1"/>
  <c r="BX24" s="1"/>
  <c r="CD24" s="1"/>
  <c r="CF24" s="1"/>
  <c r="CE24" s="1"/>
  <c r="CL24" s="1"/>
  <c r="C23" i="10" s="1"/>
  <c r="E23" s="1"/>
  <c r="D23" s="1"/>
  <c r="J23" s="1"/>
  <c r="L23" s="1"/>
  <c r="K23" s="1"/>
  <c r="Q23" s="1"/>
  <c r="S23" s="1"/>
  <c r="R23" s="1"/>
  <c r="X23" s="1"/>
  <c r="Z23" s="1"/>
  <c r="Y23" s="1"/>
  <c r="AE23" s="1"/>
  <c r="AG23" s="1"/>
  <c r="AF23" s="1"/>
  <c r="AL23" s="1"/>
  <c r="AN23" s="1"/>
  <c r="AM23" s="1"/>
  <c r="AU23" s="1"/>
  <c r="AW23" s="1"/>
  <c r="AV23" s="1"/>
  <c r="BB23" s="1"/>
  <c r="BD23" s="1"/>
  <c r="BC23" s="1"/>
  <c r="BI23" s="1"/>
  <c r="BK23" s="1"/>
  <c r="BJ23" s="1"/>
  <c r="BP23" s="1"/>
  <c r="BR23" s="1"/>
  <c r="BQ23" s="1"/>
  <c r="BW23" s="1"/>
  <c r="BY23" s="1"/>
  <c r="BX23" s="1"/>
  <c r="CD23" s="1"/>
  <c r="CF23" s="1"/>
  <c r="CE23" s="1"/>
  <c r="CL23" s="1"/>
  <c r="AW23" i="8"/>
  <c r="AV23" s="1"/>
  <c r="BB23"/>
  <c r="BB19"/>
  <c r="BD19" s="1"/>
  <c r="BC19" s="1"/>
  <c r="BI19" s="1"/>
  <c r="BK19" s="1"/>
  <c r="BJ19" s="1"/>
  <c r="BP19" s="1"/>
  <c r="BR19" s="1"/>
  <c r="BQ19" s="1"/>
  <c r="BW19" s="1"/>
  <c r="BY19" s="1"/>
  <c r="BX19" s="1"/>
  <c r="CD19" s="1"/>
  <c r="CF19" s="1"/>
  <c r="CE19" s="1"/>
  <c r="CL19" s="1"/>
  <c r="C19" i="10" s="1"/>
  <c r="E19" s="1"/>
  <c r="D19" s="1"/>
  <c r="J19" s="1"/>
  <c r="L19" s="1"/>
  <c r="K19" s="1"/>
  <c r="Q19" s="1"/>
  <c r="S19" s="1"/>
  <c r="R19" s="1"/>
  <c r="X19" s="1"/>
  <c r="Z19" s="1"/>
  <c r="Y19" s="1"/>
  <c r="AE19" s="1"/>
  <c r="AG19" s="1"/>
  <c r="AF19" s="1"/>
  <c r="AL19" s="1"/>
  <c r="AN19" s="1"/>
  <c r="AM19" s="1"/>
  <c r="AU19" s="1"/>
  <c r="AW19" s="1"/>
  <c r="AV19" s="1"/>
  <c r="BB19" s="1"/>
  <c r="BD19" s="1"/>
  <c r="BC19" s="1"/>
  <c r="BI19" s="1"/>
  <c r="BK19" s="1"/>
  <c r="BJ19" s="1"/>
  <c r="BP19" s="1"/>
  <c r="BR19" s="1"/>
  <c r="BQ19" s="1"/>
  <c r="BW19" s="1"/>
  <c r="BY19" s="1"/>
  <c r="BX19" s="1"/>
  <c r="CD19" s="1"/>
  <c r="CF19" s="1"/>
  <c r="CE19" s="1"/>
  <c r="CL19" s="1"/>
  <c r="BB15" i="8"/>
  <c r="BD15" s="1"/>
  <c r="BC15" s="1"/>
  <c r="BI15" s="1"/>
  <c r="BK15" s="1"/>
  <c r="BJ15" s="1"/>
  <c r="BP15" s="1"/>
  <c r="BR15" s="1"/>
  <c r="BQ15" s="1"/>
  <c r="BW15" s="1"/>
  <c r="BY15" s="1"/>
  <c r="BX15" s="1"/>
  <c r="CD15" s="1"/>
  <c r="CF15" s="1"/>
  <c r="CE15" s="1"/>
  <c r="CL15" s="1"/>
  <c r="C15" i="10" s="1"/>
  <c r="E15" s="1"/>
  <c r="D15" s="1"/>
  <c r="J15" s="1"/>
  <c r="L15" s="1"/>
  <c r="K15" s="1"/>
  <c r="Q15" s="1"/>
  <c r="S15" s="1"/>
  <c r="R15" s="1"/>
  <c r="X15" s="1"/>
  <c r="Z15" s="1"/>
  <c r="Y15" s="1"/>
  <c r="AE15" s="1"/>
  <c r="AG15" s="1"/>
  <c r="AF15" s="1"/>
  <c r="AL15" s="1"/>
  <c r="AN15" s="1"/>
  <c r="AM15" s="1"/>
  <c r="AU15" s="1"/>
  <c r="AW15" s="1"/>
  <c r="AV15" s="1"/>
  <c r="BB15" s="1"/>
  <c r="BD15" s="1"/>
  <c r="BC15" s="1"/>
  <c r="BI15" s="1"/>
  <c r="BK15" s="1"/>
  <c r="BJ15" s="1"/>
  <c r="BP15" s="1"/>
  <c r="BR15" s="1"/>
  <c r="BQ15" s="1"/>
  <c r="BW15" s="1"/>
  <c r="BY15" s="1"/>
  <c r="BX15" s="1"/>
  <c r="CD15" s="1"/>
  <c r="CF15" s="1"/>
  <c r="CE15" s="1"/>
  <c r="CL15" s="1"/>
  <c r="AW16" i="8"/>
  <c r="AV16" s="1"/>
  <c r="BB16"/>
  <c r="AW7"/>
  <c r="AV7" s="1"/>
  <c r="BB7"/>
  <c r="L22"/>
  <c r="K22" s="1"/>
  <c r="Q22" s="1"/>
  <c r="D4" i="7"/>
  <c r="AL26" i="5"/>
  <c r="C53" i="11" l="1"/>
  <c r="M32"/>
  <c r="C51" s="1"/>
  <c r="C64" s="1"/>
  <c r="CQ4"/>
  <c r="E3" i="12" s="1"/>
  <c r="CQ11" i="11"/>
  <c r="CR22"/>
  <c r="CR24" s="1"/>
  <c r="CS6"/>
  <c r="F5" i="12" s="1"/>
  <c r="E5"/>
  <c r="CS7" i="11"/>
  <c r="F6" i="12" s="1"/>
  <c r="E6"/>
  <c r="CS8" i="11"/>
  <c r="F7" i="12" s="1"/>
  <c r="E7"/>
  <c r="CS9" i="11"/>
  <c r="F8" i="12" s="1"/>
  <c r="E8"/>
  <c r="CS10" i="11"/>
  <c r="F9" i="12" s="1"/>
  <c r="E9"/>
  <c r="CS12" i="11"/>
  <c r="F11" i="12" s="1"/>
  <c r="E11"/>
  <c r="CS13" i="11"/>
  <c r="F12" i="12" s="1"/>
  <c r="E12"/>
  <c r="CS14" i="11"/>
  <c r="F13" i="12" s="1"/>
  <c r="E13"/>
  <c r="CS15" i="11"/>
  <c r="F14" i="12" s="1"/>
  <c r="E14"/>
  <c r="CS16" i="11"/>
  <c r="F15" i="12" s="1"/>
  <c r="E15"/>
  <c r="CS17" i="11"/>
  <c r="F16" i="12" s="1"/>
  <c r="E16"/>
  <c r="CS18" i="11"/>
  <c r="F17" i="12" s="1"/>
  <c r="E17"/>
  <c r="CS21" i="11"/>
  <c r="F20" i="12" s="1"/>
  <c r="E20"/>
  <c r="CS5" i="11"/>
  <c r="F4" i="12" s="1"/>
  <c r="E4"/>
  <c r="CS20" i="11"/>
  <c r="F19" i="12" s="1"/>
  <c r="E19"/>
  <c r="CS19" i="11"/>
  <c r="F18" i="12" s="1"/>
  <c r="E18"/>
  <c r="CS23" i="11"/>
  <c r="F22" i="12" s="1"/>
  <c r="G22" s="1"/>
  <c r="CS22" i="11"/>
  <c r="F21" i="12" s="1"/>
  <c r="G21" s="1"/>
  <c r="CU33" i="10"/>
  <c r="AU13" i="11"/>
  <c r="AU17"/>
  <c r="AU21"/>
  <c r="AW21" s="1"/>
  <c r="AV21" s="1"/>
  <c r="BB21" s="1"/>
  <c r="BD21" s="1"/>
  <c r="BC21" s="1"/>
  <c r="BI21" s="1"/>
  <c r="BK21" s="1"/>
  <c r="BJ21" s="1"/>
  <c r="BP21" s="1"/>
  <c r="BR21" s="1"/>
  <c r="BQ21" s="1"/>
  <c r="BW21" s="1"/>
  <c r="BY21" s="1"/>
  <c r="BX21" s="1"/>
  <c r="CD21" s="1"/>
  <c r="CF21" s="1"/>
  <c r="CE21" s="1"/>
  <c r="CL21" s="1"/>
  <c r="C20" i="12" s="1"/>
  <c r="CU4" i="10"/>
  <c r="D45" s="1"/>
  <c r="CS26"/>
  <c r="CQ3" i="11"/>
  <c r="E2" i="12" s="1"/>
  <c r="CP24" i="11"/>
  <c r="CU3" i="10"/>
  <c r="CT23" i="11"/>
  <c r="M45"/>
  <c r="CT22"/>
  <c r="CT19"/>
  <c r="CT20"/>
  <c r="CT5"/>
  <c r="CT18"/>
  <c r="CT17"/>
  <c r="CT16"/>
  <c r="CT15"/>
  <c r="CT14"/>
  <c r="CT13"/>
  <c r="CT12"/>
  <c r="CT10"/>
  <c r="CT9"/>
  <c r="CT8"/>
  <c r="CT7"/>
  <c r="CT6"/>
  <c r="BD5" i="8"/>
  <c r="BC5" s="1"/>
  <c r="BI5" s="1"/>
  <c r="BK5" s="1"/>
  <c r="BJ5" s="1"/>
  <c r="BP5" s="1"/>
  <c r="BR5" s="1"/>
  <c r="BQ5" s="1"/>
  <c r="BW5" s="1"/>
  <c r="BY5" s="1"/>
  <c r="BX5" s="1"/>
  <c r="CD5" s="1"/>
  <c r="CF5" s="1"/>
  <c r="CE5" s="1"/>
  <c r="CL5" s="1"/>
  <c r="C5" i="10" s="1"/>
  <c r="E5" s="1"/>
  <c r="D5" s="1"/>
  <c r="J5" s="1"/>
  <c r="L5" s="1"/>
  <c r="K5" s="1"/>
  <c r="Q5" s="1"/>
  <c r="S5" s="1"/>
  <c r="R5" s="1"/>
  <c r="X5" s="1"/>
  <c r="Z5" s="1"/>
  <c r="Y5" s="1"/>
  <c r="AE5" s="1"/>
  <c r="AG5" s="1"/>
  <c r="AF5" s="1"/>
  <c r="AL5" s="1"/>
  <c r="AN5" s="1"/>
  <c r="AM5" s="1"/>
  <c r="AU5" s="1"/>
  <c r="AW5" s="1"/>
  <c r="AV5" s="1"/>
  <c r="BB5" s="1"/>
  <c r="BD5" s="1"/>
  <c r="BC5" s="1"/>
  <c r="BI5" s="1"/>
  <c r="BK5" s="1"/>
  <c r="BJ5" s="1"/>
  <c r="BP5" s="1"/>
  <c r="BR5" s="1"/>
  <c r="BQ5" s="1"/>
  <c r="BW5" s="1"/>
  <c r="BY5" s="1"/>
  <c r="BX5" s="1"/>
  <c r="CD5" s="1"/>
  <c r="CF5" s="1"/>
  <c r="CE5" s="1"/>
  <c r="CL5" s="1"/>
  <c r="AU3" i="11" s="1"/>
  <c r="BD6" i="8"/>
  <c r="BC6" s="1"/>
  <c r="BI6" s="1"/>
  <c r="BK6" s="1"/>
  <c r="BJ6" s="1"/>
  <c r="BP6" s="1"/>
  <c r="BR6" s="1"/>
  <c r="BQ6" s="1"/>
  <c r="BW6" s="1"/>
  <c r="BY6" s="1"/>
  <c r="BX6" s="1"/>
  <c r="CD6" s="1"/>
  <c r="CF6" s="1"/>
  <c r="CE6" s="1"/>
  <c r="CL6" s="1"/>
  <c r="C6" i="10" s="1"/>
  <c r="E6" s="1"/>
  <c r="D6" s="1"/>
  <c r="J6" s="1"/>
  <c r="L6" s="1"/>
  <c r="K6" s="1"/>
  <c r="Q6" s="1"/>
  <c r="S6" s="1"/>
  <c r="R6" s="1"/>
  <c r="X6" s="1"/>
  <c r="Z6" s="1"/>
  <c r="Y6" s="1"/>
  <c r="AE6" s="1"/>
  <c r="AG6" s="1"/>
  <c r="AF6" s="1"/>
  <c r="AL6" s="1"/>
  <c r="AN6" s="1"/>
  <c r="AM6" s="1"/>
  <c r="AU6" s="1"/>
  <c r="AW6" s="1"/>
  <c r="AV6" s="1"/>
  <c r="BB6" s="1"/>
  <c r="BD6" s="1"/>
  <c r="BC6" s="1"/>
  <c r="BI6" s="1"/>
  <c r="BK6" s="1"/>
  <c r="BJ6" s="1"/>
  <c r="BP6" s="1"/>
  <c r="BR6" s="1"/>
  <c r="BQ6" s="1"/>
  <c r="BW6" s="1"/>
  <c r="BY6" s="1"/>
  <c r="BX6" s="1"/>
  <c r="CD6" s="1"/>
  <c r="CF6" s="1"/>
  <c r="CE6" s="1"/>
  <c r="CL6" s="1"/>
  <c r="BD8" i="8"/>
  <c r="BC8" s="1"/>
  <c r="BI8" s="1"/>
  <c r="BK8" s="1"/>
  <c r="BJ8" s="1"/>
  <c r="BP8" s="1"/>
  <c r="BR8" s="1"/>
  <c r="BQ8" s="1"/>
  <c r="BW8" s="1"/>
  <c r="BY8" s="1"/>
  <c r="BX8" s="1"/>
  <c r="CD8" s="1"/>
  <c r="CF8" s="1"/>
  <c r="CE8" s="1"/>
  <c r="CL8" s="1"/>
  <c r="C8" i="10" s="1"/>
  <c r="E8" s="1"/>
  <c r="D8" s="1"/>
  <c r="J8" s="1"/>
  <c r="L8" s="1"/>
  <c r="K8" s="1"/>
  <c r="Q8" s="1"/>
  <c r="S8" s="1"/>
  <c r="R8" s="1"/>
  <c r="X8" s="1"/>
  <c r="Z8" s="1"/>
  <c r="Y8" s="1"/>
  <c r="AE8" s="1"/>
  <c r="AG8" s="1"/>
  <c r="AF8" s="1"/>
  <c r="AL8" s="1"/>
  <c r="AN8" s="1"/>
  <c r="AM8" s="1"/>
  <c r="AU8" s="1"/>
  <c r="AW8" s="1"/>
  <c r="AV8" s="1"/>
  <c r="BB8" s="1"/>
  <c r="BD8" s="1"/>
  <c r="BC8" s="1"/>
  <c r="BI8" s="1"/>
  <c r="BK8" s="1"/>
  <c r="BJ8" s="1"/>
  <c r="BP8" s="1"/>
  <c r="BR8" s="1"/>
  <c r="BQ8" s="1"/>
  <c r="BW8" s="1"/>
  <c r="BY8" s="1"/>
  <c r="BX8" s="1"/>
  <c r="CD8" s="1"/>
  <c r="CF8" s="1"/>
  <c r="CE8" s="1"/>
  <c r="CL8" s="1"/>
  <c r="BD9" i="8"/>
  <c r="BC9" s="1"/>
  <c r="BI9" s="1"/>
  <c r="BK9" s="1"/>
  <c r="BJ9" s="1"/>
  <c r="BP9" s="1"/>
  <c r="BR9" s="1"/>
  <c r="BQ9" s="1"/>
  <c r="BW9" s="1"/>
  <c r="BY9" s="1"/>
  <c r="BX9" s="1"/>
  <c r="CD9" s="1"/>
  <c r="CF9" s="1"/>
  <c r="CE9" s="1"/>
  <c r="CL9" s="1"/>
  <c r="C9" i="10" s="1"/>
  <c r="E9" s="1"/>
  <c r="D9" s="1"/>
  <c r="J9" s="1"/>
  <c r="L9" s="1"/>
  <c r="K9" s="1"/>
  <c r="Q9" s="1"/>
  <c r="S9" s="1"/>
  <c r="R9" s="1"/>
  <c r="X9" s="1"/>
  <c r="Z9" s="1"/>
  <c r="Y9" s="1"/>
  <c r="AE9" s="1"/>
  <c r="AG9" s="1"/>
  <c r="AF9" s="1"/>
  <c r="AL9" s="1"/>
  <c r="AN9" s="1"/>
  <c r="AM9" s="1"/>
  <c r="AU9" s="1"/>
  <c r="AW9" s="1"/>
  <c r="AV9" s="1"/>
  <c r="BB9" s="1"/>
  <c r="BD9" s="1"/>
  <c r="BC9" s="1"/>
  <c r="BI9" s="1"/>
  <c r="BK9" s="1"/>
  <c r="BJ9" s="1"/>
  <c r="BP9" s="1"/>
  <c r="BR9" s="1"/>
  <c r="BQ9" s="1"/>
  <c r="BW9" s="1"/>
  <c r="BY9" s="1"/>
  <c r="BX9" s="1"/>
  <c r="CD9" s="1"/>
  <c r="CF9" s="1"/>
  <c r="CE9" s="1"/>
  <c r="CL9" s="1"/>
  <c r="BD11" i="8"/>
  <c r="BC11" s="1"/>
  <c r="BI11" s="1"/>
  <c r="BK11" s="1"/>
  <c r="BJ11" s="1"/>
  <c r="BP11" s="1"/>
  <c r="BR11" s="1"/>
  <c r="BQ11" s="1"/>
  <c r="BW11" s="1"/>
  <c r="BY11" s="1"/>
  <c r="BX11" s="1"/>
  <c r="CD11" s="1"/>
  <c r="CF11" s="1"/>
  <c r="CE11" s="1"/>
  <c r="CL11" s="1"/>
  <c r="C11" i="10" s="1"/>
  <c r="E11" s="1"/>
  <c r="D11" s="1"/>
  <c r="J11" s="1"/>
  <c r="L11" s="1"/>
  <c r="K11" s="1"/>
  <c r="Q11" s="1"/>
  <c r="S11" s="1"/>
  <c r="R11" s="1"/>
  <c r="X11" s="1"/>
  <c r="Z11" s="1"/>
  <c r="Y11" s="1"/>
  <c r="AE11" s="1"/>
  <c r="AG11" s="1"/>
  <c r="AF11" s="1"/>
  <c r="AL11" s="1"/>
  <c r="AN11" s="1"/>
  <c r="AM11" s="1"/>
  <c r="AU11" s="1"/>
  <c r="AW11" s="1"/>
  <c r="AV11" s="1"/>
  <c r="BB11" s="1"/>
  <c r="BD11" s="1"/>
  <c r="BC11" s="1"/>
  <c r="BI11" s="1"/>
  <c r="BK11" s="1"/>
  <c r="BJ11" s="1"/>
  <c r="BP11" s="1"/>
  <c r="BR11" s="1"/>
  <c r="BQ11" s="1"/>
  <c r="BW11" s="1"/>
  <c r="BY11" s="1"/>
  <c r="BX11" s="1"/>
  <c r="CD11" s="1"/>
  <c r="CF11" s="1"/>
  <c r="CE11" s="1"/>
  <c r="CL11" s="1"/>
  <c r="BD12" i="8"/>
  <c r="BC12" s="1"/>
  <c r="BI12" s="1"/>
  <c r="BK12" s="1"/>
  <c r="BJ12" s="1"/>
  <c r="BP12" s="1"/>
  <c r="BR12" s="1"/>
  <c r="BQ12" s="1"/>
  <c r="BW12" s="1"/>
  <c r="BY12" s="1"/>
  <c r="BX12" s="1"/>
  <c r="CD12" s="1"/>
  <c r="CF12" s="1"/>
  <c r="CE12" s="1"/>
  <c r="CL12" s="1"/>
  <c r="C12" i="10" s="1"/>
  <c r="E12" s="1"/>
  <c r="D12" s="1"/>
  <c r="J12" s="1"/>
  <c r="L12" s="1"/>
  <c r="K12" s="1"/>
  <c r="Q12" s="1"/>
  <c r="S12" s="1"/>
  <c r="R12" s="1"/>
  <c r="X12" s="1"/>
  <c r="Z12" s="1"/>
  <c r="Y12" s="1"/>
  <c r="AE12" s="1"/>
  <c r="AG12" s="1"/>
  <c r="AF12" s="1"/>
  <c r="AL12" s="1"/>
  <c r="AN12" s="1"/>
  <c r="AM12" s="1"/>
  <c r="AU12" s="1"/>
  <c r="AW12" s="1"/>
  <c r="AV12" s="1"/>
  <c r="BB12" s="1"/>
  <c r="BD12" s="1"/>
  <c r="BC12" s="1"/>
  <c r="BI12" s="1"/>
  <c r="BK12" s="1"/>
  <c r="BJ12" s="1"/>
  <c r="BP12" s="1"/>
  <c r="BR12" s="1"/>
  <c r="BQ12" s="1"/>
  <c r="BW12" s="1"/>
  <c r="BY12" s="1"/>
  <c r="BX12" s="1"/>
  <c r="CD12" s="1"/>
  <c r="CF12" s="1"/>
  <c r="CE12" s="1"/>
  <c r="CL12" s="1"/>
  <c r="BD13" i="8"/>
  <c r="BC13" s="1"/>
  <c r="BI13" s="1"/>
  <c r="BK13" s="1"/>
  <c r="BJ13" s="1"/>
  <c r="BP13" s="1"/>
  <c r="BR13" s="1"/>
  <c r="BQ13" s="1"/>
  <c r="BW13" s="1"/>
  <c r="BY13" s="1"/>
  <c r="BX13" s="1"/>
  <c r="CD13" s="1"/>
  <c r="CF13" s="1"/>
  <c r="CE13" s="1"/>
  <c r="CL13" s="1"/>
  <c r="C13" i="10" s="1"/>
  <c r="E13" s="1"/>
  <c r="D13" s="1"/>
  <c r="J13" s="1"/>
  <c r="L13" s="1"/>
  <c r="K13" s="1"/>
  <c r="Q13" s="1"/>
  <c r="S13" s="1"/>
  <c r="R13" s="1"/>
  <c r="X13" s="1"/>
  <c r="Z13" s="1"/>
  <c r="Y13" s="1"/>
  <c r="AE13" s="1"/>
  <c r="AG13" s="1"/>
  <c r="AF13" s="1"/>
  <c r="AL13" s="1"/>
  <c r="AN13" s="1"/>
  <c r="AM13" s="1"/>
  <c r="AU13" s="1"/>
  <c r="AW13" s="1"/>
  <c r="AV13" s="1"/>
  <c r="BB13" s="1"/>
  <c r="BD13" s="1"/>
  <c r="BC13" s="1"/>
  <c r="BI13" s="1"/>
  <c r="BK13" s="1"/>
  <c r="BJ13" s="1"/>
  <c r="BP13" s="1"/>
  <c r="BR13" s="1"/>
  <c r="BQ13" s="1"/>
  <c r="BW13" s="1"/>
  <c r="BY13" s="1"/>
  <c r="BX13" s="1"/>
  <c r="CD13" s="1"/>
  <c r="CF13" s="1"/>
  <c r="CE13" s="1"/>
  <c r="CL13" s="1"/>
  <c r="AU11" i="11" s="1"/>
  <c r="BD14" i="8"/>
  <c r="BC14" s="1"/>
  <c r="BI14" s="1"/>
  <c r="BK14" s="1"/>
  <c r="BJ14" s="1"/>
  <c r="BP14" s="1"/>
  <c r="BR14" s="1"/>
  <c r="BQ14" s="1"/>
  <c r="BW14" s="1"/>
  <c r="BY14" s="1"/>
  <c r="BX14" s="1"/>
  <c r="CD14" s="1"/>
  <c r="CF14" s="1"/>
  <c r="CE14" s="1"/>
  <c r="CL14" s="1"/>
  <c r="BD17"/>
  <c r="BC17" s="1"/>
  <c r="BI17" s="1"/>
  <c r="BK17" s="1"/>
  <c r="BJ17" s="1"/>
  <c r="BP17" s="1"/>
  <c r="BR17" s="1"/>
  <c r="BQ17" s="1"/>
  <c r="BW17" s="1"/>
  <c r="BY17" s="1"/>
  <c r="BX17" s="1"/>
  <c r="CD17" s="1"/>
  <c r="CF17" s="1"/>
  <c r="CE17" s="1"/>
  <c r="CL17" s="1"/>
  <c r="C17" i="10" s="1"/>
  <c r="E17" s="1"/>
  <c r="D17" s="1"/>
  <c r="J17" s="1"/>
  <c r="L17" s="1"/>
  <c r="K17" s="1"/>
  <c r="Q17" s="1"/>
  <c r="S17" s="1"/>
  <c r="R17" s="1"/>
  <c r="X17" s="1"/>
  <c r="Z17" s="1"/>
  <c r="Y17" s="1"/>
  <c r="AE17" s="1"/>
  <c r="AG17" s="1"/>
  <c r="AF17" s="1"/>
  <c r="AL17" s="1"/>
  <c r="AN17" s="1"/>
  <c r="AM17" s="1"/>
  <c r="AU17" s="1"/>
  <c r="AW17" s="1"/>
  <c r="AV17" s="1"/>
  <c r="BB17" s="1"/>
  <c r="BD17" s="1"/>
  <c r="BC17" s="1"/>
  <c r="BI17" s="1"/>
  <c r="BK17" s="1"/>
  <c r="BJ17" s="1"/>
  <c r="BP17" s="1"/>
  <c r="BR17" s="1"/>
  <c r="BQ17" s="1"/>
  <c r="BW17" s="1"/>
  <c r="BY17" s="1"/>
  <c r="BX17" s="1"/>
  <c r="CD17" s="1"/>
  <c r="CF17" s="1"/>
  <c r="CE17" s="1"/>
  <c r="CL17" s="1"/>
  <c r="BD18" i="8"/>
  <c r="BC18" s="1"/>
  <c r="BI18" s="1"/>
  <c r="BK18" s="1"/>
  <c r="BJ18" s="1"/>
  <c r="BP18" s="1"/>
  <c r="BR18" s="1"/>
  <c r="BQ18" s="1"/>
  <c r="BW18" s="1"/>
  <c r="BY18" s="1"/>
  <c r="BX18" s="1"/>
  <c r="CD18" s="1"/>
  <c r="CF18" s="1"/>
  <c r="CE18" s="1"/>
  <c r="CL18" s="1"/>
  <c r="C18" i="10" s="1"/>
  <c r="E18" s="1"/>
  <c r="D18" s="1"/>
  <c r="J18" s="1"/>
  <c r="L18" s="1"/>
  <c r="K18" s="1"/>
  <c r="Q18" s="1"/>
  <c r="S18" s="1"/>
  <c r="R18" s="1"/>
  <c r="X18" s="1"/>
  <c r="Z18" s="1"/>
  <c r="Y18" s="1"/>
  <c r="AE18" s="1"/>
  <c r="AG18" s="1"/>
  <c r="AF18" s="1"/>
  <c r="AL18" s="1"/>
  <c r="AN18" s="1"/>
  <c r="AM18" s="1"/>
  <c r="AU18" s="1"/>
  <c r="AW18" s="1"/>
  <c r="AV18" s="1"/>
  <c r="BB18" s="1"/>
  <c r="BD18" s="1"/>
  <c r="BC18" s="1"/>
  <c r="BI18" s="1"/>
  <c r="BK18" s="1"/>
  <c r="BJ18" s="1"/>
  <c r="BP18" s="1"/>
  <c r="BR18" s="1"/>
  <c r="BQ18" s="1"/>
  <c r="BW18" s="1"/>
  <c r="BY18" s="1"/>
  <c r="BX18" s="1"/>
  <c r="CD18" s="1"/>
  <c r="CF18" s="1"/>
  <c r="CE18" s="1"/>
  <c r="CL18" s="1"/>
  <c r="BD20" i="8"/>
  <c r="BC20" s="1"/>
  <c r="BI20" s="1"/>
  <c r="BK20" s="1"/>
  <c r="BJ20" s="1"/>
  <c r="BP20" s="1"/>
  <c r="BR20" s="1"/>
  <c r="BQ20" s="1"/>
  <c r="BW20" s="1"/>
  <c r="BY20" s="1"/>
  <c r="BX20" s="1"/>
  <c r="CD20" s="1"/>
  <c r="CF20" s="1"/>
  <c r="CE20" s="1"/>
  <c r="CL20" s="1"/>
  <c r="C24" i="10" s="1"/>
  <c r="J24" s="1"/>
  <c r="L24" s="1"/>
  <c r="K24" s="1"/>
  <c r="Q24" s="1"/>
  <c r="S24" s="1"/>
  <c r="R24" s="1"/>
  <c r="X24" s="1"/>
  <c r="Z24" s="1"/>
  <c r="Y24" s="1"/>
  <c r="AE24" s="1"/>
  <c r="AG24" s="1"/>
  <c r="AF24" s="1"/>
  <c r="AL24" s="1"/>
  <c r="AN24" s="1"/>
  <c r="AM24" s="1"/>
  <c r="AU24" s="1"/>
  <c r="AW24" s="1"/>
  <c r="AV24" s="1"/>
  <c r="BB24" s="1"/>
  <c r="BI24" s="1"/>
  <c r="BK24" s="1"/>
  <c r="BJ24" s="1"/>
  <c r="BP24" s="1"/>
  <c r="BR24" s="1"/>
  <c r="BQ24" s="1"/>
  <c r="BW24" s="1"/>
  <c r="BY24" s="1"/>
  <c r="BX24" s="1"/>
  <c r="CD24" s="1"/>
  <c r="CF24" s="1"/>
  <c r="CE24" s="1"/>
  <c r="CL24" s="1"/>
  <c r="BD21" i="8"/>
  <c r="BC21" s="1"/>
  <c r="BI21" s="1"/>
  <c r="BK21" s="1"/>
  <c r="BJ21" s="1"/>
  <c r="BP21" s="1"/>
  <c r="BR21" s="1"/>
  <c r="BQ21" s="1"/>
  <c r="BW21" s="1"/>
  <c r="BY21" s="1"/>
  <c r="BX21" s="1"/>
  <c r="CD21" s="1"/>
  <c r="CF21" s="1"/>
  <c r="CE21" s="1"/>
  <c r="CL21" s="1"/>
  <c r="C20" i="10" s="1"/>
  <c r="E20" s="1"/>
  <c r="D20" s="1"/>
  <c r="J20" s="1"/>
  <c r="L20" s="1"/>
  <c r="K20" s="1"/>
  <c r="Q20" s="1"/>
  <c r="S20" s="1"/>
  <c r="R20" s="1"/>
  <c r="X20" s="1"/>
  <c r="Z20" s="1"/>
  <c r="Y20" s="1"/>
  <c r="AE20" s="1"/>
  <c r="AG20" s="1"/>
  <c r="AF20" s="1"/>
  <c r="AL20" s="1"/>
  <c r="AN20" s="1"/>
  <c r="AM20" s="1"/>
  <c r="AU20" s="1"/>
  <c r="AW20" s="1"/>
  <c r="AV20" s="1"/>
  <c r="BB20" s="1"/>
  <c r="BD20" s="1"/>
  <c r="BC20" s="1"/>
  <c r="BI20" s="1"/>
  <c r="BK20" s="1"/>
  <c r="BJ20" s="1"/>
  <c r="BP20" s="1"/>
  <c r="BR20" s="1"/>
  <c r="BQ20" s="1"/>
  <c r="BW20" s="1"/>
  <c r="BY20" s="1"/>
  <c r="BX20" s="1"/>
  <c r="CD20" s="1"/>
  <c r="CF20" s="1"/>
  <c r="CE20" s="1"/>
  <c r="CL20" s="1"/>
  <c r="BD10" i="8"/>
  <c r="BC10" s="1"/>
  <c r="BI10" s="1"/>
  <c r="BK10" s="1"/>
  <c r="BJ10" s="1"/>
  <c r="BP10" s="1"/>
  <c r="BR10" s="1"/>
  <c r="BQ10" s="1"/>
  <c r="BW10" s="1"/>
  <c r="BY10" s="1"/>
  <c r="BX10" s="1"/>
  <c r="CD10" s="1"/>
  <c r="CF10" s="1"/>
  <c r="CE10" s="1"/>
  <c r="CL10" s="1"/>
  <c r="C10" i="10" s="1"/>
  <c r="E10" s="1"/>
  <c r="D10" s="1"/>
  <c r="J10" s="1"/>
  <c r="L10" s="1"/>
  <c r="K10" s="1"/>
  <c r="Q10" s="1"/>
  <c r="S10" s="1"/>
  <c r="R10" s="1"/>
  <c r="X10" s="1"/>
  <c r="Z10" s="1"/>
  <c r="Y10" s="1"/>
  <c r="AE10" s="1"/>
  <c r="AG10" s="1"/>
  <c r="AF10" s="1"/>
  <c r="AL10" s="1"/>
  <c r="AN10" s="1"/>
  <c r="AM10" s="1"/>
  <c r="AU10" s="1"/>
  <c r="AW10" s="1"/>
  <c r="AV10" s="1"/>
  <c r="BB10" s="1"/>
  <c r="BD10" s="1"/>
  <c r="BC10" s="1"/>
  <c r="BI10" s="1"/>
  <c r="BK10" s="1"/>
  <c r="BJ10" s="1"/>
  <c r="BP10" s="1"/>
  <c r="BR10" s="1"/>
  <c r="BQ10" s="1"/>
  <c r="BW10" s="1"/>
  <c r="BY10" s="1"/>
  <c r="BX10" s="1"/>
  <c r="CD10" s="1"/>
  <c r="CF10" s="1"/>
  <c r="CE10" s="1"/>
  <c r="CL10" s="1"/>
  <c r="BD23" i="8"/>
  <c r="BC23" s="1"/>
  <c r="BI23" s="1"/>
  <c r="BK23" s="1"/>
  <c r="BJ23" s="1"/>
  <c r="BP23" s="1"/>
  <c r="BR23" s="1"/>
  <c r="BQ23" s="1"/>
  <c r="BW23" s="1"/>
  <c r="BY23" s="1"/>
  <c r="BX23" s="1"/>
  <c r="CD23" s="1"/>
  <c r="CF23" s="1"/>
  <c r="CE23" s="1"/>
  <c r="CL23" s="1"/>
  <c r="C22" i="10" s="1"/>
  <c r="BD16" i="8"/>
  <c r="BC16" s="1"/>
  <c r="BI16" s="1"/>
  <c r="BK16" s="1"/>
  <c r="BJ16" s="1"/>
  <c r="BP16" s="1"/>
  <c r="BR16" s="1"/>
  <c r="BQ16" s="1"/>
  <c r="BW16" s="1"/>
  <c r="BY16" s="1"/>
  <c r="BX16" s="1"/>
  <c r="CD16" s="1"/>
  <c r="CF16" s="1"/>
  <c r="CE16" s="1"/>
  <c r="CL16" s="1"/>
  <c r="C16" i="10" s="1"/>
  <c r="E16" s="1"/>
  <c r="D16" s="1"/>
  <c r="J16" s="1"/>
  <c r="L16" s="1"/>
  <c r="K16" s="1"/>
  <c r="Q16" s="1"/>
  <c r="S16" s="1"/>
  <c r="R16" s="1"/>
  <c r="X16" s="1"/>
  <c r="Z16" s="1"/>
  <c r="Y16" s="1"/>
  <c r="AE16" s="1"/>
  <c r="AG16" s="1"/>
  <c r="AF16" s="1"/>
  <c r="AL16" s="1"/>
  <c r="AN16" s="1"/>
  <c r="AM16" s="1"/>
  <c r="AU16" s="1"/>
  <c r="AW16" s="1"/>
  <c r="AV16" s="1"/>
  <c r="BB16" s="1"/>
  <c r="BD16" s="1"/>
  <c r="BC16" s="1"/>
  <c r="BI16" s="1"/>
  <c r="BK16" s="1"/>
  <c r="BJ16" s="1"/>
  <c r="BP16" s="1"/>
  <c r="BR16" s="1"/>
  <c r="BQ16" s="1"/>
  <c r="BW16" s="1"/>
  <c r="BY16" s="1"/>
  <c r="BX16" s="1"/>
  <c r="CD16" s="1"/>
  <c r="CF16" s="1"/>
  <c r="CE16" s="1"/>
  <c r="CL16" s="1"/>
  <c r="BD7" i="8"/>
  <c r="BC7" s="1"/>
  <c r="BI7" s="1"/>
  <c r="BK7" s="1"/>
  <c r="BJ7" s="1"/>
  <c r="BP7" s="1"/>
  <c r="BR7" s="1"/>
  <c r="BQ7" s="1"/>
  <c r="BW7" s="1"/>
  <c r="BY7" s="1"/>
  <c r="BX7" s="1"/>
  <c r="CD7" s="1"/>
  <c r="CF7" s="1"/>
  <c r="CE7" s="1"/>
  <c r="CL7" s="1"/>
  <c r="C7" i="10" s="1"/>
  <c r="E7" s="1"/>
  <c r="D7" s="1"/>
  <c r="J7" s="1"/>
  <c r="L7" s="1"/>
  <c r="K7" s="1"/>
  <c r="Q7" s="1"/>
  <c r="S7" s="1"/>
  <c r="R7" s="1"/>
  <c r="X7" s="1"/>
  <c r="Z7" s="1"/>
  <c r="Y7" s="1"/>
  <c r="AE7" s="1"/>
  <c r="AG7" s="1"/>
  <c r="AF7" s="1"/>
  <c r="AL7" s="1"/>
  <c r="AN7" s="1"/>
  <c r="AM7" s="1"/>
  <c r="AU7" s="1"/>
  <c r="AW7" s="1"/>
  <c r="AV7" s="1"/>
  <c r="BB7" s="1"/>
  <c r="BD7" s="1"/>
  <c r="BC7" s="1"/>
  <c r="BI7" s="1"/>
  <c r="BK7" s="1"/>
  <c r="BJ7" s="1"/>
  <c r="BP7" s="1"/>
  <c r="BR7" s="1"/>
  <c r="BQ7" s="1"/>
  <c r="BW7" s="1"/>
  <c r="BY7" s="1"/>
  <c r="BX7" s="1"/>
  <c r="CD7" s="1"/>
  <c r="S22" i="8"/>
  <c r="R22" s="1"/>
  <c r="X22" s="1"/>
  <c r="J4" i="7"/>
  <c r="AN26" i="5"/>
  <c r="AM3"/>
  <c r="C14" i="10" l="1"/>
  <c r="E14" s="1"/>
  <c r="D14" s="1"/>
  <c r="J14" s="1"/>
  <c r="L14" s="1"/>
  <c r="K14" s="1"/>
  <c r="Q14" s="1"/>
  <c r="S14" s="1"/>
  <c r="R14" s="1"/>
  <c r="X14" s="1"/>
  <c r="Z14" s="1"/>
  <c r="Y14" s="1"/>
  <c r="AE14" s="1"/>
  <c r="AG14" s="1"/>
  <c r="AF14" s="1"/>
  <c r="AL14" s="1"/>
  <c r="AN14" s="1"/>
  <c r="AM14" s="1"/>
  <c r="AU14" s="1"/>
  <c r="AW14" s="1"/>
  <c r="AV14" s="1"/>
  <c r="BB14" s="1"/>
  <c r="BD14" s="1"/>
  <c r="BC14" s="1"/>
  <c r="BI14" s="1"/>
  <c r="BK14" s="1"/>
  <c r="BJ14" s="1"/>
  <c r="BP14" s="1"/>
  <c r="BR14" s="1"/>
  <c r="BQ14" s="1"/>
  <c r="BW14" s="1"/>
  <c r="BY14" s="1"/>
  <c r="BX14" s="1"/>
  <c r="CD14" s="1"/>
  <c r="CF14" s="1"/>
  <c r="CE14" s="1"/>
  <c r="CL14" s="1"/>
  <c r="AU12" i="11" s="1"/>
  <c r="AW12" s="1"/>
  <c r="AV12" s="1"/>
  <c r="BB12" s="1"/>
  <c r="BD12" s="1"/>
  <c r="BC12" s="1"/>
  <c r="BI12" s="1"/>
  <c r="BK12" s="1"/>
  <c r="BP12" s="1"/>
  <c r="AW17"/>
  <c r="AV17" s="1"/>
  <c r="BB17" s="1"/>
  <c r="BD17" s="1"/>
  <c r="BC17" s="1"/>
  <c r="BI17" s="1"/>
  <c r="BK17" s="1"/>
  <c r="BJ17" s="1"/>
  <c r="BP17" s="1"/>
  <c r="BR17" s="1"/>
  <c r="BQ17" s="1"/>
  <c r="BW17" s="1"/>
  <c r="BY17" s="1"/>
  <c r="BX17" s="1"/>
  <c r="CD17" s="1"/>
  <c r="CF17" s="1"/>
  <c r="CE17" s="1"/>
  <c r="CL17" s="1"/>
  <c r="C16" i="12" s="1"/>
  <c r="AW13" i="11"/>
  <c r="AV13"/>
  <c r="BB13" s="1"/>
  <c r="BD13" s="1"/>
  <c r="BC13" s="1"/>
  <c r="BI13" s="1"/>
  <c r="BK13" s="1"/>
  <c r="BJ13" s="1"/>
  <c r="BP13" s="1"/>
  <c r="BR13" s="1"/>
  <c r="BQ13" s="1"/>
  <c r="BW13" s="1"/>
  <c r="BY13" s="1"/>
  <c r="BX13" s="1"/>
  <c r="CD13" s="1"/>
  <c r="CF13" s="1"/>
  <c r="CE13" s="1"/>
  <c r="CL13" s="1"/>
  <c r="C12" i="12" s="1"/>
  <c r="J35" i="13"/>
  <c r="E10" i="12"/>
  <c r="CS11" i="11"/>
  <c r="CS4"/>
  <c r="G18" i="12"/>
  <c r="G19"/>
  <c r="G4"/>
  <c r="G20"/>
  <c r="G17"/>
  <c r="G16"/>
  <c r="G15"/>
  <c r="G14"/>
  <c r="G13"/>
  <c r="G12"/>
  <c r="G11"/>
  <c r="G9"/>
  <c r="G8"/>
  <c r="G7"/>
  <c r="G6"/>
  <c r="G5"/>
  <c r="CQ24" i="11"/>
  <c r="E23" i="12" s="1"/>
  <c r="CS3" i="11"/>
  <c r="F2" i="12" s="1"/>
  <c r="G2" s="1"/>
  <c r="CT21" i="11"/>
  <c r="CT30"/>
  <c r="CS30"/>
  <c r="CF7" i="10"/>
  <c r="CE7" s="1"/>
  <c r="CL7"/>
  <c r="AU5" i="11" s="1"/>
  <c r="AU14"/>
  <c r="AU8"/>
  <c r="AW8" s="1"/>
  <c r="AV8" s="1"/>
  <c r="BB8" s="1"/>
  <c r="BD8" s="1"/>
  <c r="BC8" s="1"/>
  <c r="BI8" s="1"/>
  <c r="BK8" s="1"/>
  <c r="BJ8" s="1"/>
  <c r="BP8" s="1"/>
  <c r="BR8" s="1"/>
  <c r="BQ8" s="1"/>
  <c r="BW8" s="1"/>
  <c r="BY8" s="1"/>
  <c r="BX8" s="1"/>
  <c r="CD8" s="1"/>
  <c r="CF8" s="1"/>
  <c r="CE8" s="1"/>
  <c r="CL8" s="1"/>
  <c r="C7" i="12" s="1"/>
  <c r="AU22" i="11"/>
  <c r="AW22" s="1"/>
  <c r="AV22" s="1"/>
  <c r="BB22" s="1"/>
  <c r="BI22" s="1"/>
  <c r="BK22" s="1"/>
  <c r="BJ22" s="1"/>
  <c r="BP22" s="1"/>
  <c r="BR22" s="1"/>
  <c r="BQ22" s="1"/>
  <c r="BW22" s="1"/>
  <c r="BY22" s="1"/>
  <c r="BX22" s="1"/>
  <c r="CD22" s="1"/>
  <c r="CF22" s="1"/>
  <c r="CE22" s="1"/>
  <c r="CL22" s="1"/>
  <c r="C21" i="12" s="1"/>
  <c r="AU16" i="11"/>
  <c r="AW16" s="1"/>
  <c r="AV16" s="1"/>
  <c r="BB16" s="1"/>
  <c r="BD16" s="1"/>
  <c r="BC16" s="1"/>
  <c r="BI16" s="1"/>
  <c r="BK16" s="1"/>
  <c r="BJ16" s="1"/>
  <c r="BP16" s="1"/>
  <c r="BR16" s="1"/>
  <c r="BQ16" s="1"/>
  <c r="BW16" s="1"/>
  <c r="BY16" s="1"/>
  <c r="BX16" s="1"/>
  <c r="CD16" s="1"/>
  <c r="CF16" s="1"/>
  <c r="CE16" s="1"/>
  <c r="AU15"/>
  <c r="AW15" s="1"/>
  <c r="AV15" s="1"/>
  <c r="BB15" s="1"/>
  <c r="BD15" s="1"/>
  <c r="BC15" s="1"/>
  <c r="BI15" s="1"/>
  <c r="BK15" s="1"/>
  <c r="BJ15" s="1"/>
  <c r="BP15" s="1"/>
  <c r="BR15" s="1"/>
  <c r="BQ15" s="1"/>
  <c r="BW15" s="1"/>
  <c r="BY15" s="1"/>
  <c r="BX15" s="1"/>
  <c r="CD15" s="1"/>
  <c r="CF15" s="1"/>
  <c r="CE15" s="1"/>
  <c r="CL15" s="1"/>
  <c r="C14" i="12" s="1"/>
  <c r="AW11" i="11"/>
  <c r="AU10"/>
  <c r="AU9"/>
  <c r="AU7"/>
  <c r="AU6"/>
  <c r="AW6" s="1"/>
  <c r="AV6" s="1"/>
  <c r="BB6" s="1"/>
  <c r="BD6" s="1"/>
  <c r="BC6" s="1"/>
  <c r="BI6" s="1"/>
  <c r="BK6" s="1"/>
  <c r="BJ6" s="1"/>
  <c r="BP6" s="1"/>
  <c r="BR6" s="1"/>
  <c r="BQ6" s="1"/>
  <c r="BW6" s="1"/>
  <c r="BY6" s="1"/>
  <c r="BX6" s="1"/>
  <c r="CD6" s="1"/>
  <c r="CF6" s="1"/>
  <c r="CE6" s="1"/>
  <c r="CL6" s="1"/>
  <c r="C5" i="12" s="1"/>
  <c r="AW4" i="11"/>
  <c r="AV4" s="1"/>
  <c r="BB4" s="1"/>
  <c r="BD4" s="1"/>
  <c r="BC4" s="1"/>
  <c r="BI4" s="1"/>
  <c r="BK4" s="1"/>
  <c r="BJ4" s="1"/>
  <c r="BP4" s="1"/>
  <c r="BR4" s="1"/>
  <c r="BQ4" s="1"/>
  <c r="BW4" s="1"/>
  <c r="BY4" s="1"/>
  <c r="BX4" s="1"/>
  <c r="CD4" s="1"/>
  <c r="CU26" i="10"/>
  <c r="D44"/>
  <c r="D47" s="1"/>
  <c r="AU18" i="11"/>
  <c r="AW18" s="1"/>
  <c r="AV18" s="1"/>
  <c r="BB18" s="1"/>
  <c r="BD18" s="1"/>
  <c r="BC18" s="1"/>
  <c r="BI18" s="1"/>
  <c r="BK18" s="1"/>
  <c r="BJ18" s="1"/>
  <c r="BP18" s="1"/>
  <c r="BR18" s="1"/>
  <c r="BQ18" s="1"/>
  <c r="BW18" s="1"/>
  <c r="BY18" s="1"/>
  <c r="BX18" s="1"/>
  <c r="CD18" s="1"/>
  <c r="CF18" s="1"/>
  <c r="CE18" s="1"/>
  <c r="CL18" s="1"/>
  <c r="C17" i="12" s="1"/>
  <c r="CT3" i="11"/>
  <c r="Z22" i="8"/>
  <c r="Y22" s="1"/>
  <c r="AE22" s="1"/>
  <c r="L4" i="7"/>
  <c r="AM26" i="5"/>
  <c r="AU3"/>
  <c r="AW3" s="1"/>
  <c r="BW12" i="11" l="1"/>
  <c r="BY12" s="1"/>
  <c r="CD12" s="1"/>
  <c r="CF12" s="1"/>
  <c r="CE12" s="1"/>
  <c r="CL12" s="1"/>
  <c r="BR12"/>
  <c r="AW14"/>
  <c r="AW10"/>
  <c r="AV10" s="1"/>
  <c r="BB10" s="1"/>
  <c r="BD10" s="1"/>
  <c r="BC10" s="1"/>
  <c r="BI10" s="1"/>
  <c r="BK10" s="1"/>
  <c r="BJ10" s="1"/>
  <c r="BP10" s="1"/>
  <c r="BR10" s="1"/>
  <c r="BQ10" s="1"/>
  <c r="BW10" s="1"/>
  <c r="BY10" s="1"/>
  <c r="BX10" s="1"/>
  <c r="CD10" s="1"/>
  <c r="CF10" s="1"/>
  <c r="CE10" s="1"/>
  <c r="CL10" s="1"/>
  <c r="C9" i="12" s="1"/>
  <c r="AW9" i="11"/>
  <c r="AV9" s="1"/>
  <c r="BB9" s="1"/>
  <c r="BD9" s="1"/>
  <c r="BC9" s="1"/>
  <c r="BI9" s="1"/>
  <c r="BK9" s="1"/>
  <c r="BJ9" s="1"/>
  <c r="BP9" s="1"/>
  <c r="BR9" s="1"/>
  <c r="BQ9" s="1"/>
  <c r="BW9" s="1"/>
  <c r="BY9" s="1"/>
  <c r="BX9" s="1"/>
  <c r="CD9" s="1"/>
  <c r="CF9" s="1"/>
  <c r="CE9" s="1"/>
  <c r="CL9" s="1"/>
  <c r="C8" i="12" s="1"/>
  <c r="AW7" i="11"/>
  <c r="AV7" s="1"/>
  <c r="BB7" s="1"/>
  <c r="BD7" s="1"/>
  <c r="BC7" s="1"/>
  <c r="BI7" s="1"/>
  <c r="BK7" s="1"/>
  <c r="BJ7" s="1"/>
  <c r="BP7" s="1"/>
  <c r="BR7" s="1"/>
  <c r="BQ7" s="1"/>
  <c r="BW7" s="1"/>
  <c r="BY7" s="1"/>
  <c r="BX7" s="1"/>
  <c r="CD7" s="1"/>
  <c r="CF7" s="1"/>
  <c r="CE7" s="1"/>
  <c r="CL7" s="1"/>
  <c r="C6" i="12" s="1"/>
  <c r="CF4" i="11"/>
  <c r="CE4" s="1"/>
  <c r="CL4"/>
  <c r="C3" i="12" s="1"/>
  <c r="AV11" i="11"/>
  <c r="G14" i="13"/>
  <c r="C11" i="12"/>
  <c r="AV14" i="11"/>
  <c r="BB14" s="1"/>
  <c r="BD14" s="1"/>
  <c r="BC14" s="1"/>
  <c r="BI14" s="1"/>
  <c r="BK14" s="1"/>
  <c r="BJ14" s="1"/>
  <c r="BP14" s="1"/>
  <c r="BR14" s="1"/>
  <c r="BQ14" s="1"/>
  <c r="BW14" s="1"/>
  <c r="BY14" s="1"/>
  <c r="BX14" s="1"/>
  <c r="CD14" s="1"/>
  <c r="CF14" s="1"/>
  <c r="CE14" s="1"/>
  <c r="CL14" s="1"/>
  <c r="C13" i="12" s="1"/>
  <c r="F3"/>
  <c r="G3" s="1"/>
  <c r="CT4" i="11"/>
  <c r="F10" i="12"/>
  <c r="J36" i="13"/>
  <c r="CT11" i="11"/>
  <c r="CT24"/>
  <c r="G10" i="12"/>
  <c r="J37" i="13"/>
  <c r="O31" i="11"/>
  <c r="O29" s="1"/>
  <c r="CS24"/>
  <c r="F23" i="12" s="1"/>
  <c r="AW5" i="11"/>
  <c r="AV5" s="1"/>
  <c r="BB5" s="1"/>
  <c r="BD5" s="1"/>
  <c r="BC5" s="1"/>
  <c r="BI5" s="1"/>
  <c r="BK5" s="1"/>
  <c r="BJ5" s="1"/>
  <c r="BP5" s="1"/>
  <c r="BR5" s="1"/>
  <c r="BQ5" s="1"/>
  <c r="BW5" s="1"/>
  <c r="BY5" s="1"/>
  <c r="BX5" s="1"/>
  <c r="CD5" s="1"/>
  <c r="CF5" s="1"/>
  <c r="CE5" s="1"/>
  <c r="CL5" s="1"/>
  <c r="C4" i="12" s="1"/>
  <c r="AG22" i="8"/>
  <c r="AF22" s="1"/>
  <c r="AL22" s="1"/>
  <c r="K4" i="7"/>
  <c r="AW26" i="5"/>
  <c r="AV3"/>
  <c r="BB11" i="11" l="1"/>
  <c r="BD11" s="1"/>
  <c r="H14" i="13"/>
  <c r="G23" i="12"/>
  <c r="AN22" i="8"/>
  <c r="AM22" s="1"/>
  <c r="AU22" s="1"/>
  <c r="Q4" i="7"/>
  <c r="AV26" i="5"/>
  <c r="BB3"/>
  <c r="BD3" s="1"/>
  <c r="BC11" i="11" l="1"/>
  <c r="G15" i="13"/>
  <c r="AW22" i="8"/>
  <c r="AV22" s="1"/>
  <c r="BB22" s="1"/>
  <c r="S4" i="7"/>
  <c r="BD26" i="5"/>
  <c r="BC3"/>
  <c r="BI11" i="11" l="1"/>
  <c r="BK11" s="1"/>
  <c r="H15" i="13"/>
  <c r="BD22" i="8"/>
  <c r="BC22" s="1"/>
  <c r="BI22" s="1"/>
  <c r="R4" i="7"/>
  <c r="BC26" i="5"/>
  <c r="BI3"/>
  <c r="BK3" s="1"/>
  <c r="BJ11" i="11" l="1"/>
  <c r="G16" i="13"/>
  <c r="BK22" i="8"/>
  <c r="BJ22" s="1"/>
  <c r="BP22" s="1"/>
  <c r="X4" i="7"/>
  <c r="BI26" i="5"/>
  <c r="BP11" i="11" l="1"/>
  <c r="BR11" s="1"/>
  <c r="H16" i="13"/>
  <c r="Q25" i="11"/>
  <c r="BR22" i="8"/>
  <c r="BQ22" s="1"/>
  <c r="BW22" s="1"/>
  <c r="Z4" i="7"/>
  <c r="BK26" i="5"/>
  <c r="BJ3"/>
  <c r="BQ11" i="11" l="1"/>
  <c r="G17" i="13"/>
  <c r="S25" i="11"/>
  <c r="BY22" i="8"/>
  <c r="BX22" s="1"/>
  <c r="CD22" s="1"/>
  <c r="Y4" i="7"/>
  <c r="BJ26" i="5"/>
  <c r="BP3"/>
  <c r="BR3" s="1"/>
  <c r="BW11" i="11" l="1"/>
  <c r="BY11" s="1"/>
  <c r="H17" i="13"/>
  <c r="R25" i="11"/>
  <c r="CF22" i="8"/>
  <c r="CE22" s="1"/>
  <c r="CL22" s="1"/>
  <c r="C21" i="10" s="1"/>
  <c r="E21" s="1"/>
  <c r="D21" s="1"/>
  <c r="J21" s="1"/>
  <c r="L21" s="1"/>
  <c r="K21" s="1"/>
  <c r="Q21" s="1"/>
  <c r="S21" s="1"/>
  <c r="R21" s="1"/>
  <c r="X21" s="1"/>
  <c r="Z21" s="1"/>
  <c r="Y21" s="1"/>
  <c r="AE21" s="1"/>
  <c r="AG21" s="1"/>
  <c r="AF21" s="1"/>
  <c r="AL21" s="1"/>
  <c r="AN21" s="1"/>
  <c r="AM21" s="1"/>
  <c r="AU21" s="1"/>
  <c r="AW21" s="1"/>
  <c r="AV21" s="1"/>
  <c r="BB21" s="1"/>
  <c r="BD21" s="1"/>
  <c r="BC21" s="1"/>
  <c r="BI21" s="1"/>
  <c r="BK21" s="1"/>
  <c r="BJ21" s="1"/>
  <c r="BP21" s="1"/>
  <c r="BR21" s="1"/>
  <c r="BQ21" s="1"/>
  <c r="BW21" s="1"/>
  <c r="BY21" s="1"/>
  <c r="BX21" s="1"/>
  <c r="CD21" s="1"/>
  <c r="CF21" s="1"/>
  <c r="CE21" s="1"/>
  <c r="CL21" s="1"/>
  <c r="AU19" i="11" s="1"/>
  <c r="AE4" i="7"/>
  <c r="BP26" i="5"/>
  <c r="BX11" i="11" l="1"/>
  <c r="G18" i="13"/>
  <c r="E22" i="10"/>
  <c r="AG4" i="7"/>
  <c r="BR26" i="5"/>
  <c r="BQ3"/>
  <c r="CD11" i="11" l="1"/>
  <c r="CF11" s="1"/>
  <c r="H18" i="13"/>
  <c r="D22" i="10"/>
  <c r="AF4" i="7"/>
  <c r="BQ26" i="5"/>
  <c r="BW3"/>
  <c r="BY3" s="1"/>
  <c r="CE11" i="11" l="1"/>
  <c r="G19" i="13"/>
  <c r="G20" s="1"/>
  <c r="J22" i="10"/>
  <c r="AL4" i="7"/>
  <c r="BW26" i="5"/>
  <c r="CL11" i="11" l="1"/>
  <c r="H19" i="13"/>
  <c r="H20" s="1"/>
  <c r="AW19" i="11"/>
  <c r="AV19" s="1"/>
  <c r="BB19" s="1"/>
  <c r="BD19" s="1"/>
  <c r="BC19" s="1"/>
  <c r="BI19" s="1"/>
  <c r="BK19" s="1"/>
  <c r="BJ19" s="1"/>
  <c r="BP19" s="1"/>
  <c r="BR19" s="1"/>
  <c r="BQ19" s="1"/>
  <c r="BW19" s="1"/>
  <c r="BY19" s="1"/>
  <c r="BX19" s="1"/>
  <c r="CD19" s="1"/>
  <c r="CF19" s="1"/>
  <c r="CE19" s="1"/>
  <c r="CL19" s="1"/>
  <c r="C18" i="12" s="1"/>
  <c r="Q22" i="10"/>
  <c r="L22"/>
  <c r="AN4" i="7"/>
  <c r="BY26" i="5"/>
  <c r="BX3"/>
  <c r="CD3" s="1"/>
  <c r="J23" i="13" l="1"/>
  <c r="C10" i="12"/>
  <c r="X22" i="10"/>
  <c r="S22"/>
  <c r="AM4" i="7"/>
  <c r="CF3" i="5"/>
  <c r="BX26"/>
  <c r="AE22" i="10" l="1"/>
  <c r="Z22"/>
  <c r="AU4" i="7"/>
  <c r="AW4" s="1"/>
  <c r="CD26" i="5"/>
  <c r="AL22" i="10" l="1"/>
  <c r="AG22"/>
  <c r="AV4" i="7"/>
  <c r="CF26" i="5"/>
  <c r="C37" s="1"/>
  <c r="CE3"/>
  <c r="AU22" i="10" l="1"/>
  <c r="AN22"/>
  <c r="BB4" i="7"/>
  <c r="BD4" s="1"/>
  <c r="CE26" i="5"/>
  <c r="I31" s="1"/>
  <c r="CL3"/>
  <c r="C3" i="7" l="1"/>
  <c r="CL26" i="5"/>
  <c r="W43" s="1"/>
  <c r="AW3" i="11"/>
  <c r="BB22" i="10"/>
  <c r="AW22"/>
  <c r="C36" i="5"/>
  <c r="C43" s="1"/>
  <c r="BC4" i="7"/>
  <c r="E3" l="1"/>
  <c r="C26"/>
  <c r="AV3" i="11"/>
  <c r="BI22" i="10"/>
  <c r="BD22"/>
  <c r="BI4" i="7"/>
  <c r="R46" i="5"/>
  <c r="R43" s="1"/>
  <c r="R48" s="1"/>
  <c r="G50" s="1"/>
  <c r="D3" i="7" l="1"/>
  <c r="E26"/>
  <c r="BB3" i="11"/>
  <c r="BD3" s="1"/>
  <c r="BP22" i="10"/>
  <c r="BK22"/>
  <c r="R43" i="7"/>
  <c r="U43" i="5"/>
  <c r="W44"/>
  <c r="BK4" i="7"/>
  <c r="D26" l="1"/>
  <c r="J3"/>
  <c r="BC3" i="11"/>
  <c r="BW22" i="10"/>
  <c r="BR22"/>
  <c r="BJ4" i="7"/>
  <c r="L3" l="1"/>
  <c r="J26"/>
  <c r="BI3" i="11"/>
  <c r="CD22" i="10"/>
  <c r="BY22"/>
  <c r="BP4" i="7"/>
  <c r="K3" l="1"/>
  <c r="L26"/>
  <c r="BK3" i="11"/>
  <c r="CL22" i="10"/>
  <c r="AU20" i="11" s="1"/>
  <c r="CF22" i="10"/>
  <c r="BR4" i="7"/>
  <c r="K26" l="1"/>
  <c r="Q3"/>
  <c r="BJ3" i="11"/>
  <c r="BQ4" i="7"/>
  <c r="S3" l="1"/>
  <c r="Q27"/>
  <c r="BP3" i="11"/>
  <c r="BW4" i="7"/>
  <c r="R3" l="1"/>
  <c r="S27"/>
  <c r="BR3" i="11"/>
  <c r="BY4" i="7"/>
  <c r="R27" l="1"/>
  <c r="X3"/>
  <c r="BQ3" i="11"/>
  <c r="BX4" i="7"/>
  <c r="Z3" l="1"/>
  <c r="X26"/>
  <c r="BW3" i="11"/>
  <c r="CD4" i="7"/>
  <c r="Y3" l="1"/>
  <c r="Z26"/>
  <c r="BY3" i="11"/>
  <c r="CF4" i="7"/>
  <c r="Y26" l="1"/>
  <c r="AE3"/>
  <c r="BX3" i="11"/>
  <c r="CE4" i="7"/>
  <c r="CL4" s="1"/>
  <c r="AG3" l="1"/>
  <c r="AE26"/>
  <c r="CD3" i="11"/>
  <c r="C4" i="8"/>
  <c r="AF3" i="7" l="1"/>
  <c r="AG26"/>
  <c r="AW20" i="11"/>
  <c r="CF3"/>
  <c r="E4" i="8"/>
  <c r="AL3" i="7" l="1"/>
  <c r="AF26"/>
  <c r="AW24" i="11"/>
  <c r="AV20"/>
  <c r="CE3"/>
  <c r="D4" i="8"/>
  <c r="AN3" i="7" l="1"/>
  <c r="AL26"/>
  <c r="AV24" i="11"/>
  <c r="BB20"/>
  <c r="CL3"/>
  <c r="J4" i="8"/>
  <c r="AM3" i="7" l="1"/>
  <c r="AN26"/>
  <c r="C2" i="12"/>
  <c r="BD20" i="11"/>
  <c r="L4" i="8"/>
  <c r="AM26" i="7" l="1"/>
  <c r="AU3"/>
  <c r="BD24" i="11"/>
  <c r="BC20"/>
  <c r="K4" i="8"/>
  <c r="AW3" i="7" l="1"/>
  <c r="BC24" i="11"/>
  <c r="BI20"/>
  <c r="Q4" i="8"/>
  <c r="AV3" i="7" l="1"/>
  <c r="AW26"/>
  <c r="BI24" i="11"/>
  <c r="BK20"/>
  <c r="S4" i="8"/>
  <c r="AV26" i="7" l="1"/>
  <c r="BB3"/>
  <c r="BK24" i="11"/>
  <c r="BJ20"/>
  <c r="R4" i="8"/>
  <c r="BD3" i="7" l="1"/>
  <c r="BJ24" i="11"/>
  <c r="BP20"/>
  <c r="X4" i="8"/>
  <c r="BC3" i="7" l="1"/>
  <c r="BD26"/>
  <c r="BP24" i="11"/>
  <c r="BR20"/>
  <c r="Z4" i="8"/>
  <c r="BC26" i="7" l="1"/>
  <c r="BI3"/>
  <c r="BR24" i="11"/>
  <c r="BQ20"/>
  <c r="Y4" i="8"/>
  <c r="BK3" i="7" l="1"/>
  <c r="BI26"/>
  <c r="BQ24" i="11"/>
  <c r="BW20"/>
  <c r="AE4" i="8"/>
  <c r="BJ3" i="7" l="1"/>
  <c r="BK26"/>
  <c r="BW24" i="11"/>
  <c r="BY20"/>
  <c r="AG4" i="8"/>
  <c r="BJ26" i="7" l="1"/>
  <c r="BP3"/>
  <c r="BY24" i="11"/>
  <c r="BX20"/>
  <c r="AF4" i="8"/>
  <c r="BR3" i="7" l="1"/>
  <c r="BP26"/>
  <c r="BX24" i="11"/>
  <c r="CD20"/>
  <c r="AL4" i="8"/>
  <c r="BQ3" i="7" l="1"/>
  <c r="BR26"/>
  <c r="CD24" i="11"/>
  <c r="CF20"/>
  <c r="AN4" i="8"/>
  <c r="BQ26" i="7" l="1"/>
  <c r="BW3"/>
  <c r="CF24" i="11"/>
  <c r="C34" s="1"/>
  <c r="CE20"/>
  <c r="AM4" i="8"/>
  <c r="BY3" i="7" l="1"/>
  <c r="BW26"/>
  <c r="CE24" i="11"/>
  <c r="I29" s="1"/>
  <c r="C33" s="1"/>
  <c r="CL20"/>
  <c r="C40"/>
  <c r="AU4" i="8"/>
  <c r="BX3" i="7" l="1"/>
  <c r="BY26"/>
  <c r="H33" i="11"/>
  <c r="C19" i="12"/>
  <c r="CL24" i="11"/>
  <c r="C23" i="12" s="1"/>
  <c r="R43" i="11"/>
  <c r="F62" s="1"/>
  <c r="H32" i="13"/>
  <c r="AW4" i="8"/>
  <c r="AV4"/>
  <c r="BB4" s="1"/>
  <c r="BX26" i="7" l="1"/>
  <c r="CD3"/>
  <c r="W40" i="11"/>
  <c r="BD4" i="8"/>
  <c r="CF3" i="7" l="1"/>
  <c r="CD26"/>
  <c r="BC4" i="8"/>
  <c r="CE3" i="7" l="1"/>
  <c r="CF26"/>
  <c r="C36" s="1"/>
  <c r="BI4" i="8"/>
  <c r="CE26" i="7" l="1"/>
  <c r="I31" s="1"/>
  <c r="C35" s="1"/>
  <c r="CL3"/>
  <c r="BK4" i="8"/>
  <c r="C3" l="1"/>
  <c r="CL26" i="7"/>
  <c r="W42" s="1"/>
  <c r="R45"/>
  <c r="R42" s="1"/>
  <c r="C42"/>
  <c r="H35" s="1"/>
  <c r="BJ4" i="8"/>
  <c r="R43" l="1"/>
  <c r="W43" i="7"/>
  <c r="R47"/>
  <c r="U42" s="1"/>
  <c r="E3" i="8"/>
  <c r="C26"/>
  <c r="BP4"/>
  <c r="D3" l="1"/>
  <c r="E26"/>
  <c r="BR4"/>
  <c r="D26" l="1"/>
  <c r="J3"/>
  <c r="BQ4"/>
  <c r="L3" l="1"/>
  <c r="J26"/>
  <c r="BW4"/>
  <c r="K3" l="1"/>
  <c r="L26"/>
  <c r="BY4"/>
  <c r="K26" l="1"/>
  <c r="Q3"/>
  <c r="BX4"/>
  <c r="S3" l="1"/>
  <c r="Q27"/>
  <c r="CD4"/>
  <c r="R3" l="1"/>
  <c r="S27"/>
  <c r="CF4"/>
  <c r="R27" l="1"/>
  <c r="X3"/>
  <c r="CE4"/>
  <c r="Z3" l="1"/>
  <c r="X26"/>
  <c r="CL4"/>
  <c r="C4" i="10" s="1"/>
  <c r="Y3" i="8" l="1"/>
  <c r="Z26"/>
  <c r="E4" i="10"/>
  <c r="Y26" i="8" l="1"/>
  <c r="AE3"/>
  <c r="D4" i="10"/>
  <c r="AG3" i="8" l="1"/>
  <c r="AE26"/>
  <c r="J4" i="10"/>
  <c r="AF3" i="8" l="1"/>
  <c r="AG26"/>
  <c r="L4" i="10"/>
  <c r="AF26" i="8" l="1"/>
  <c r="AL3"/>
  <c r="K4" i="10"/>
  <c r="AN3" i="8" l="1"/>
  <c r="AL26"/>
  <c r="Q4" i="10"/>
  <c r="AM3" i="8" l="1"/>
  <c r="AN26"/>
  <c r="S4" i="10"/>
  <c r="AU3" i="8" l="1"/>
  <c r="AW3" s="1"/>
  <c r="AM26"/>
  <c r="R4" i="10"/>
  <c r="AV3" i="8" l="1"/>
  <c r="AW26"/>
  <c r="X4" i="10"/>
  <c r="BB3" i="8" l="1"/>
  <c r="BD3" s="1"/>
  <c r="AV26"/>
  <c r="Z4" i="10"/>
  <c r="BC3" i="8" l="1"/>
  <c r="BD26"/>
  <c r="Y4" i="10"/>
  <c r="BI3" i="8" l="1"/>
  <c r="BC26"/>
  <c r="AE4" i="10"/>
  <c r="BK3" i="8" l="1"/>
  <c r="BI26"/>
  <c r="AG4" i="10"/>
  <c r="BJ3" i="8" l="1"/>
  <c r="BK26"/>
  <c r="AF4" i="10"/>
  <c r="BJ26" i="8" l="1"/>
  <c r="BP3"/>
  <c r="AL4" i="10"/>
  <c r="BR3" i="8" l="1"/>
  <c r="BP26"/>
  <c r="AN4" i="10"/>
  <c r="BQ3" i="8" l="1"/>
  <c r="BR26"/>
  <c r="AM4" i="10"/>
  <c r="BQ26" i="8" l="1"/>
  <c r="BW3"/>
  <c r="AU4" i="10"/>
  <c r="AW4" s="1"/>
  <c r="BY3" i="8" l="1"/>
  <c r="BW26"/>
  <c r="AV4" i="10"/>
  <c r="BX3" i="8" l="1"/>
  <c r="BY26"/>
  <c r="BB4" i="10"/>
  <c r="BD4" s="1"/>
  <c r="BX26" i="8" l="1"/>
  <c r="CD3"/>
  <c r="BC4" i="10"/>
  <c r="CF3" i="8" l="1"/>
  <c r="CD26"/>
  <c r="BI4" i="10"/>
  <c r="CE3" i="8" l="1"/>
  <c r="CF26"/>
  <c r="C36" s="1"/>
  <c r="BK4" i="10"/>
  <c r="CE26" i="8" l="1"/>
  <c r="I31" s="1"/>
  <c r="C35" s="1"/>
  <c r="CL3"/>
  <c r="BJ4" i="10"/>
  <c r="C3" l="1"/>
  <c r="CL26" i="8"/>
  <c r="W42" s="1"/>
  <c r="R45"/>
  <c r="R42" s="1"/>
  <c r="C42"/>
  <c r="H35" s="1"/>
  <c r="BP4" i="10"/>
  <c r="R47" i="8" l="1"/>
  <c r="U42" s="1"/>
  <c r="R43" i="10"/>
  <c r="W43" i="8"/>
  <c r="E3" i="10"/>
  <c r="C26"/>
  <c r="BR4"/>
  <c r="D3" l="1"/>
  <c r="E26"/>
  <c r="BQ4"/>
  <c r="D26" l="1"/>
  <c r="J3"/>
  <c r="BW4"/>
  <c r="L3" l="1"/>
  <c r="J26"/>
  <c r="BY4"/>
  <c r="K3" l="1"/>
  <c r="L26"/>
  <c r="BX4"/>
  <c r="K26" l="1"/>
  <c r="Q3"/>
  <c r="CD4"/>
  <c r="S3" l="1"/>
  <c r="Q27"/>
  <c r="CF4"/>
  <c r="R3" l="1"/>
  <c r="S27"/>
  <c r="CE4"/>
  <c r="R27" l="1"/>
  <c r="X3"/>
  <c r="CL4"/>
  <c r="Z3" l="1"/>
  <c r="X26"/>
  <c r="Y3" l="1"/>
  <c r="Z26"/>
  <c r="Y26" l="1"/>
  <c r="AE3"/>
  <c r="AG3" l="1"/>
  <c r="AE26"/>
  <c r="AF3" l="1"/>
  <c r="AG26"/>
  <c r="AF26" l="1"/>
  <c r="AL3"/>
  <c r="AN3" l="1"/>
  <c r="AL26"/>
  <c r="AM3" l="1"/>
  <c r="AN26"/>
  <c r="AM26" l="1"/>
  <c r="AU3"/>
  <c r="AW3" l="1"/>
  <c r="AV3" l="1"/>
  <c r="AW26"/>
  <c r="AV26" l="1"/>
  <c r="BB3"/>
  <c r="BD3" l="1"/>
  <c r="BC3" l="1"/>
  <c r="BD26"/>
  <c r="BC26" l="1"/>
  <c r="BI3"/>
  <c r="BK3" l="1"/>
  <c r="BI26"/>
  <c r="BJ3" l="1"/>
  <c r="BK26"/>
  <c r="BJ26" l="1"/>
  <c r="BP3"/>
  <c r="BR3" l="1"/>
  <c r="BP26"/>
  <c r="BQ3" l="1"/>
  <c r="BR26"/>
  <c r="BQ26" l="1"/>
  <c r="BW3"/>
  <c r="BY3" l="1"/>
  <c r="BW26"/>
  <c r="BX3" l="1"/>
  <c r="BY26"/>
  <c r="BX26" l="1"/>
  <c r="CD3"/>
  <c r="CF3" l="1"/>
  <c r="CD26"/>
  <c r="CE3" l="1"/>
  <c r="CF26"/>
  <c r="C36" s="1"/>
  <c r="CE26" l="1"/>
  <c r="I31" s="1"/>
  <c r="C35" s="1"/>
  <c r="CL3"/>
  <c r="CL26" s="1"/>
  <c r="W42" s="1"/>
  <c r="R45" l="1"/>
  <c r="R42" s="1"/>
  <c r="C42"/>
  <c r="H35" l="1"/>
  <c r="R41" i="11"/>
  <c r="R47" i="10"/>
  <c r="U42" s="1"/>
  <c r="W43"/>
  <c r="R40" i="11" l="1"/>
  <c r="F60"/>
  <c r="F51" i="10"/>
  <c r="W41" i="11" l="1"/>
  <c r="F59"/>
  <c r="F64" s="1"/>
  <c r="R45"/>
  <c r="G46" l="1"/>
  <c r="U40"/>
</calcChain>
</file>

<file path=xl/sharedStrings.xml><?xml version="1.0" encoding="utf-8"?>
<sst xmlns="http://schemas.openxmlformats.org/spreadsheetml/2006/main" count="1209" uniqueCount="192">
  <si>
    <t>Sep</t>
  </si>
  <si>
    <t>Oct</t>
  </si>
  <si>
    <t>Nov</t>
  </si>
  <si>
    <t>Dec</t>
  </si>
  <si>
    <t>Jan</t>
  </si>
  <si>
    <t>Feb</t>
  </si>
  <si>
    <t>FULL NAME</t>
  </si>
  <si>
    <t>LOAN</t>
  </si>
  <si>
    <t>PRINCIPAL</t>
  </si>
  <si>
    <t>Intt. (Cutting)</t>
  </si>
  <si>
    <t>R.D</t>
  </si>
  <si>
    <t>P.A</t>
  </si>
  <si>
    <t>TOTAL</t>
  </si>
  <si>
    <t>loan</t>
  </si>
  <si>
    <t>PUJA ADVANCE</t>
  </si>
  <si>
    <t>P.A Adjust</t>
  </si>
  <si>
    <t>Rem.Loan</t>
  </si>
  <si>
    <t>Rem. P.A</t>
  </si>
  <si>
    <t>prin.</t>
  </si>
  <si>
    <t>Sajal Kumar Dey</t>
  </si>
  <si>
    <t>ok</t>
  </si>
  <si>
    <t>Bikash Kumar Das</t>
  </si>
  <si>
    <t>Mukti Roy</t>
  </si>
  <si>
    <t>Kakali Dutta</t>
  </si>
  <si>
    <t>Juthika Roy</t>
  </si>
  <si>
    <t>Sanjoy Dutta</t>
  </si>
  <si>
    <t>Ranjit Narjinary</t>
  </si>
  <si>
    <t>Bikash Debnath</t>
  </si>
  <si>
    <t>Alakesh Roy</t>
  </si>
  <si>
    <t>Arup Ray</t>
  </si>
  <si>
    <t>Indira Ghosh</t>
  </si>
  <si>
    <t>Mithun Das</t>
  </si>
  <si>
    <t>Samir Paul</t>
  </si>
  <si>
    <t>Ajay Dutta</t>
  </si>
  <si>
    <t>Krishnendu Pal</t>
  </si>
  <si>
    <t>Biswajit Kirtania</t>
  </si>
  <si>
    <t>Sukh Shanti Narjinary</t>
  </si>
  <si>
    <t>Birendra Nath Roy</t>
  </si>
  <si>
    <t>Indrajit Saha</t>
  </si>
  <si>
    <t xml:space="preserve">MA </t>
  </si>
  <si>
    <t>Nriren Roy</t>
  </si>
  <si>
    <t>masi</t>
  </si>
  <si>
    <t>Rvbhs</t>
  </si>
  <si>
    <t>rd</t>
  </si>
  <si>
    <t>Liabilities</t>
  </si>
  <si>
    <t>Amount</t>
  </si>
  <si>
    <t>Assets</t>
  </si>
  <si>
    <t xml:space="preserve">LOAN </t>
  </si>
  <si>
    <t>Recurring deposit:</t>
  </si>
  <si>
    <t>Cash at Bank</t>
  </si>
  <si>
    <t>prin</t>
  </si>
  <si>
    <t>PAD</t>
  </si>
  <si>
    <t>L.B.S</t>
  </si>
  <si>
    <t>intt</t>
  </si>
  <si>
    <t>PRD</t>
  </si>
  <si>
    <t>khata loan</t>
  </si>
  <si>
    <t>Deposit</t>
  </si>
  <si>
    <t>SHARE WITHDRAWN</t>
  </si>
  <si>
    <t>Received</t>
  </si>
  <si>
    <t>Withdrawn</t>
  </si>
  <si>
    <t>entrée fee NR</t>
  </si>
  <si>
    <t>SBD</t>
  </si>
  <si>
    <t>Share Withdrawn</t>
  </si>
  <si>
    <t>Cash In Hand</t>
  </si>
  <si>
    <t>O.B</t>
  </si>
  <si>
    <t>Expen.</t>
  </si>
  <si>
    <t>Profit</t>
  </si>
  <si>
    <t>Disbursed</t>
  </si>
  <si>
    <t>Cash in Hand</t>
  </si>
  <si>
    <t>Mar</t>
  </si>
  <si>
    <t>rem loan</t>
  </si>
  <si>
    <t>Susanta Dutta</t>
  </si>
  <si>
    <t>Dress</t>
  </si>
  <si>
    <t>Puja Advance</t>
  </si>
  <si>
    <t>Puja Advance Dispatched</t>
  </si>
  <si>
    <t>Profit Dispatched</t>
  </si>
  <si>
    <t>Bank Deposit</t>
  </si>
  <si>
    <t>intt.</t>
  </si>
  <si>
    <t>Firoja Khatun</t>
  </si>
  <si>
    <t>BNR</t>
  </si>
  <si>
    <t>original rd</t>
  </si>
  <si>
    <t>org prin.</t>
  </si>
  <si>
    <t>ori loan</t>
  </si>
  <si>
    <t>Withdrown</t>
  </si>
  <si>
    <t>rd/Share</t>
  </si>
  <si>
    <t>Savings BankWithdrown</t>
  </si>
  <si>
    <t>Share Withdrown</t>
  </si>
  <si>
    <t>TOTAL RD</t>
  </si>
  <si>
    <t>old rd</t>
  </si>
  <si>
    <t>Intt.</t>
  </si>
  <si>
    <t>Final RD</t>
  </si>
  <si>
    <t>Sud</t>
  </si>
  <si>
    <t>Receipt</t>
  </si>
  <si>
    <t>Payment</t>
  </si>
  <si>
    <t>Total</t>
  </si>
  <si>
    <t>Cash Account for the period of 01.04.2016 to 31.03.2017</t>
  </si>
  <si>
    <t>Balance Sheet for the period from 01.04.2016 to 31.03.2017</t>
  </si>
  <si>
    <t>Mar'17</t>
  </si>
  <si>
    <t>Cash Account for the period of 01.04.2017 to 31.03.2018</t>
  </si>
  <si>
    <t>Balance Sheet for the period from 01.04.2017 to 31.03.2018</t>
  </si>
  <si>
    <t>Cash Account for the period of 01.04.2018 to 31.03.2019</t>
  </si>
  <si>
    <t>Balance Sheet for the period from 01.04.2018 to 31.03.2019</t>
  </si>
  <si>
    <t>Cash Account for the period of 01.04.2019 to 31.03.2020</t>
  </si>
  <si>
    <t>Balance Sheet for the period from 01.04.2019 to 31.03.2020</t>
  </si>
  <si>
    <t>** Share withdrown Nriren Roy Rs. 6335.00</t>
  </si>
  <si>
    <t>MA</t>
  </si>
  <si>
    <t xml:space="preserve">** Share withdrown  Rs. </t>
  </si>
  <si>
    <t xml:space="preserve">** Share withdrown Rs. </t>
  </si>
  <si>
    <t>**  Profit distributed according to the Share ratio.</t>
  </si>
  <si>
    <t>My Mob No: 9434483601</t>
  </si>
  <si>
    <t>P</t>
  </si>
  <si>
    <t>Gift</t>
  </si>
  <si>
    <t>** Kakali dutta Share -613.00</t>
  </si>
  <si>
    <t>Cash Account for the period of 01.04.2020 to 31.03.2021</t>
  </si>
  <si>
    <t>Balance Sheet for the period from 01.04.2020 to 31.03.2021</t>
  </si>
  <si>
    <t>Spl. Intt.6months</t>
  </si>
  <si>
    <t>STAFF WELFARE FUND</t>
  </si>
  <si>
    <t>RAJARHAT VIDYABHAVAN HIGH SCHOOL(H.S)</t>
  </si>
  <si>
    <t>Vill: TENGONMARI . P.O: RAJARHAT. Dist: COOCH BEHAR . Pin: 736165</t>
  </si>
  <si>
    <t>MONTHLY PAY CARD</t>
  </si>
  <si>
    <t>NAME :</t>
  </si>
  <si>
    <t>GOLDEN RULES</t>
  </si>
  <si>
    <t>1. You must submit your deposit with in 10 days  from month starts.</t>
  </si>
  <si>
    <t>2. You can withdraw your share(R.D) from 1 lack or more.</t>
  </si>
  <si>
    <t>3. Your loan eligibility is R.D+40000</t>
  </si>
  <si>
    <t>4. You can take loan as you want in some special ground.</t>
  </si>
  <si>
    <t>5.The welfare fund is able to refund your loan bu giving  a short notice.</t>
  </si>
  <si>
    <t>I do here by obey all the rules listed upon.</t>
  </si>
  <si>
    <t xml:space="preserve">Full Signature </t>
  </si>
  <si>
    <t>Month</t>
  </si>
  <si>
    <t>Loan</t>
  </si>
  <si>
    <t>Prin.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</si>
  <si>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</si>
  <si>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</si>
  <si>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</si>
  <si>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</si>
  <si>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</si>
  <si>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</si>
  <si>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</si>
  <si>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</si>
  <si>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</si>
  <si>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</si>
  <si>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</si>
  <si>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</si>
  <si>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Remarks</t>
  </si>
  <si>
    <t>Signature</t>
  </si>
  <si>
    <t xml:space="preserve">Name:   </t>
  </si>
  <si>
    <t>SL No.</t>
  </si>
  <si>
    <t>NAME</t>
  </si>
  <si>
    <t>RD</t>
  </si>
  <si>
    <t>MR</t>
  </si>
  <si>
    <t>KD</t>
  </si>
  <si>
    <t>JR</t>
  </si>
  <si>
    <t>SD</t>
  </si>
  <si>
    <t>RN</t>
  </si>
  <si>
    <t>BD</t>
  </si>
  <si>
    <t>AR</t>
  </si>
  <si>
    <t>IG</t>
  </si>
  <si>
    <t>MD</t>
  </si>
  <si>
    <t>SP</t>
  </si>
  <si>
    <t>AD</t>
  </si>
  <si>
    <t>KP</t>
  </si>
  <si>
    <t>SN</t>
  </si>
  <si>
    <t>IS</t>
  </si>
  <si>
    <t>NR</t>
  </si>
  <si>
    <t xml:space="preserve">    RAJARHAT VIDYABHAVAN HIGH SCHOOL(H.S)</t>
  </si>
  <si>
    <t xml:space="preserve">     Vill: TENGONMARI  P.O: RAJARHAT .  DIST: COOCH BEHAR .   PIN: 736101</t>
  </si>
  <si>
    <t xml:space="preserve">  </t>
  </si>
  <si>
    <t xml:space="preserve"> NAME :</t>
  </si>
  <si>
    <t>individual</t>
  </si>
  <si>
    <t>P . A</t>
  </si>
  <si>
    <t>Principal</t>
  </si>
  <si>
    <t>YOUR TOTAL SHARE :</t>
  </si>
  <si>
    <t>Share Withdrawn :</t>
  </si>
  <si>
    <t>WELFARE FUND</t>
  </si>
  <si>
    <t>TOTAL SHARE  :</t>
  </si>
  <si>
    <t>TOTAL SHARE WITHDROWN:</t>
  </si>
  <si>
    <t>TOTAL RD :</t>
  </si>
  <si>
    <t>TOTAL PUJA ADVANCE GIVEN:</t>
  </si>
  <si>
    <t>TOTAL Expendature :</t>
  </si>
  <si>
    <t>TOTAL LOAN Disbursed :</t>
  </si>
  <si>
    <t>TOTAL LOAN Received :</t>
  </si>
  <si>
    <t>TOTAL PROFIT :</t>
  </si>
  <si>
    <t>Next Year Opening Balance :</t>
  </si>
  <si>
    <t>Your Loan as on 01.04.2021 :</t>
  </si>
  <si>
    <t>Session-2020-2021</t>
  </si>
  <si>
    <r>
      <t xml:space="preserve">YOUR TOTAL SHARE </t>
    </r>
    <r>
      <rPr>
        <b/>
        <sz val="14"/>
        <color theme="1"/>
        <rFont val="Adobe Caslon Pro"/>
        <family val="1"/>
      </rPr>
      <t>( Up to 31.03.2021)</t>
    </r>
    <r>
      <rPr>
        <b/>
        <sz val="18"/>
        <color theme="1"/>
        <rFont val="Control Freak"/>
      </rPr>
      <t xml:space="preserve"> :</t>
    </r>
  </si>
  <si>
    <r>
      <t xml:space="preserve">Profit  </t>
    </r>
    <r>
      <rPr>
        <b/>
        <sz val="16"/>
        <color theme="1"/>
        <rFont val="Adobe Caslon Pro Bold"/>
        <family val="1"/>
      </rPr>
      <t>( Up to 31.03.2021)</t>
    </r>
    <r>
      <rPr>
        <b/>
        <sz val="18"/>
        <color theme="1"/>
        <rFont val="Control Freak"/>
      </rPr>
      <t xml:space="preserve"> :</t>
    </r>
  </si>
  <si>
    <t>AlR</t>
  </si>
  <si>
    <t>BK</t>
  </si>
  <si>
    <t>SuD</t>
  </si>
  <si>
    <t>FK</t>
  </si>
</sst>
</file>

<file path=xl/styles.xml><?xml version="1.0" encoding="utf-8"?>
<styleSheet xmlns="http://schemas.openxmlformats.org/spreadsheetml/2006/main">
  <numFmts count="1">
    <numFmt numFmtId="164" formatCode="#,###,##0.00"/>
  </numFmts>
  <fonts count="7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333333"/>
      <name val="Verdan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0"/>
      <color rgb="FF333333"/>
      <name val="Verdana"/>
      <family val="2"/>
    </font>
    <font>
      <sz val="10"/>
      <color rgb="FFFF0000"/>
      <name val="Calibri"/>
      <family val="2"/>
      <scheme val="minor"/>
    </font>
    <font>
      <b/>
      <sz val="16"/>
      <color theme="1"/>
      <name val="Arial"/>
      <family val="2"/>
    </font>
    <font>
      <b/>
      <sz val="16"/>
      <color rgb="FFFF0000"/>
      <name val="Arial"/>
      <family val="2"/>
    </font>
    <font>
      <b/>
      <sz val="16"/>
      <color rgb="FFFF000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sz val="14"/>
      <color theme="9" tint="-0.249977111117893"/>
      <name val="Calibri"/>
      <family val="2"/>
      <scheme val="minor"/>
    </font>
    <font>
      <sz val="26"/>
      <color theme="1"/>
      <name val="Adobe Garamond Pro Bold"/>
      <family val="1"/>
    </font>
    <font>
      <sz val="16"/>
      <color theme="6"/>
      <name val="Wingdings 2"/>
      <family val="1"/>
      <charset val="2"/>
    </font>
    <font>
      <sz val="28"/>
      <color theme="1"/>
      <name val="Adobe Caslon Pro Bold"/>
      <family val="1"/>
    </font>
    <font>
      <sz val="18"/>
      <color theme="1"/>
      <name val="Calibri"/>
      <family val="2"/>
      <scheme val="minor"/>
    </font>
    <font>
      <sz val="26"/>
      <color theme="1"/>
      <name val="Ethnocentric"/>
    </font>
    <font>
      <b/>
      <sz val="16"/>
      <color theme="1"/>
      <name val="Arial Black"/>
      <family val="2"/>
    </font>
    <font>
      <sz val="8"/>
      <color theme="1"/>
      <name val="Ethnocentric"/>
    </font>
    <font>
      <sz val="18"/>
      <color theme="1"/>
      <name val="Adobe Garamond Pro Bold"/>
      <family val="1"/>
    </font>
    <font>
      <sz val="18"/>
      <color theme="1"/>
      <name val="Control Freak"/>
    </font>
    <font>
      <sz val="11"/>
      <color theme="1"/>
      <name val="Control Freak"/>
    </font>
    <font>
      <sz val="11"/>
      <color theme="1"/>
      <name val="Impact"/>
      <family val="2"/>
    </font>
    <font>
      <sz val="11"/>
      <color theme="1"/>
      <name val="Imperator"/>
      <family val="1"/>
    </font>
    <font>
      <b/>
      <sz val="11"/>
      <color theme="1"/>
      <name val="Imperator"/>
      <family val="1"/>
    </font>
    <font>
      <i/>
      <sz val="12"/>
      <name val="Adobe Garamond Pro Bold"/>
      <family val="1"/>
    </font>
    <font>
      <sz val="11"/>
      <color theme="1"/>
      <name val="Adobe Garamond Pro Bold"/>
      <family val="1"/>
    </font>
    <font>
      <i/>
      <sz val="11"/>
      <color theme="1"/>
      <name val="Arno Pro Smbd Caption"/>
      <family val="1"/>
    </font>
    <font>
      <sz val="14"/>
      <color theme="1"/>
      <name val="Calibri"/>
      <family val="2"/>
      <scheme val="minor"/>
    </font>
    <font>
      <sz val="16"/>
      <color theme="1"/>
      <name val="Adobe Caslon Pro Bold"/>
      <family val="1"/>
    </font>
    <font>
      <sz val="16"/>
      <color theme="1"/>
      <name val="Adobe Garamond Pro Bold"/>
      <family val="1"/>
    </font>
    <font>
      <i/>
      <sz val="16"/>
      <color theme="1"/>
      <name val="Adobe Garamond Pro Bold"/>
      <family val="1"/>
    </font>
    <font>
      <sz val="14"/>
      <color theme="1"/>
      <name val="Arial Narrow"/>
      <family val="2"/>
    </font>
    <font>
      <sz val="14"/>
      <color theme="1"/>
      <name val="Arno Pro Smbd Subhead"/>
      <family val="1"/>
    </font>
    <font>
      <sz val="14"/>
      <color theme="1"/>
      <name val="CentSchbkCyrill BT"/>
      <family val="1"/>
      <charset val="204"/>
    </font>
    <font>
      <sz val="12"/>
      <color theme="1"/>
      <name val="CentSchbkCyrill BT"/>
      <family val="1"/>
      <charset val="204"/>
    </font>
    <font>
      <b/>
      <sz val="10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b/>
      <sz val="14"/>
      <color rgb="FF333333"/>
      <name val="Cambria"/>
      <family val="1"/>
      <scheme val="major"/>
    </font>
    <font>
      <sz val="22"/>
      <color theme="1"/>
      <name val="Ethnocentric"/>
    </font>
    <font>
      <sz val="16"/>
      <color theme="1"/>
      <name val="Dover Heavy"/>
    </font>
    <font>
      <sz val="13"/>
      <color theme="1"/>
      <name val="Estelle"/>
    </font>
    <font>
      <b/>
      <sz val="18"/>
      <color theme="1"/>
      <name val="Control Freak"/>
    </font>
    <font>
      <sz val="18"/>
      <color theme="1"/>
      <name val="Outrider Punch Italic"/>
    </font>
    <font>
      <i/>
      <sz val="18"/>
      <color theme="1"/>
      <name val="Adobe Heiti Std R"/>
      <family val="2"/>
      <charset val="128"/>
    </font>
    <font>
      <i/>
      <sz val="22"/>
      <color theme="1"/>
      <name val="Adobe Garamond Pro Bold"/>
      <family val="1"/>
    </font>
    <font>
      <b/>
      <sz val="16"/>
      <color theme="1"/>
      <name val="Arno Pro Smbd Subhead"/>
      <family val="1"/>
    </font>
    <font>
      <sz val="16"/>
      <color theme="1"/>
      <name val="Arno Pro Smbd Subhead"/>
      <family val="1"/>
    </font>
    <font>
      <sz val="18"/>
      <color theme="1"/>
      <name val="Arno Pro Smbd Subhead"/>
      <family val="1"/>
    </font>
    <font>
      <b/>
      <sz val="11"/>
      <color theme="1"/>
      <name val="Cambria"/>
      <family val="1"/>
      <scheme val="major"/>
    </font>
    <font>
      <b/>
      <sz val="14"/>
      <color theme="1"/>
      <name val="Arial Narrow"/>
      <family val="2"/>
    </font>
    <font>
      <i/>
      <sz val="14"/>
      <color theme="1"/>
      <name val="Arial Narrow"/>
      <family val="2"/>
    </font>
    <font>
      <sz val="12"/>
      <color theme="1"/>
      <name val="Adobe Gothic Std B"/>
      <family val="2"/>
      <charset val="128"/>
    </font>
    <font>
      <b/>
      <sz val="16"/>
      <color theme="1"/>
      <name val="Adobe Garamond Pro Bold"/>
      <family val="1"/>
    </font>
    <font>
      <sz val="12"/>
      <color theme="1"/>
      <name val="Arno Pro Smbd Subhead"/>
      <family val="1"/>
    </font>
    <font>
      <b/>
      <sz val="11"/>
      <color theme="1"/>
      <name val="Control Freak"/>
    </font>
    <font>
      <i/>
      <sz val="16"/>
      <color theme="1"/>
      <name val="Outrider Punch"/>
    </font>
    <font>
      <b/>
      <sz val="12"/>
      <color theme="1"/>
      <name val="Adobe Gothic Std B"/>
    </font>
    <font>
      <b/>
      <sz val="14"/>
      <color theme="1"/>
      <name val="Adobe Caslon Pro"/>
      <family val="1"/>
    </font>
    <font>
      <b/>
      <sz val="16"/>
      <color theme="1"/>
      <name val="Adobe Caslon Pro Bold"/>
      <family val="1"/>
    </font>
    <font>
      <sz val="16"/>
      <color theme="1"/>
      <name val="Arno Pro Smbd"/>
      <family val="1"/>
    </font>
    <font>
      <i/>
      <sz val="14"/>
      <color theme="1"/>
      <name val="Adobe Fan Heiti Std B"/>
    </font>
    <font>
      <sz val="22"/>
      <color rgb="FFFF0000"/>
      <name val="Calibri"/>
      <family val="2"/>
      <scheme val="minor"/>
    </font>
    <font>
      <sz val="24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4">
    <xf numFmtId="0" fontId="0" fillId="0" borderId="0" xfId="0"/>
    <xf numFmtId="4" fontId="0" fillId="0" borderId="2" xfId="0" applyNumberFormat="1" applyFill="1" applyBorder="1"/>
    <xf numFmtId="49" fontId="3" fillId="0" borderId="0" xfId="0" applyNumberFormat="1" applyFont="1" applyProtection="1">
      <protection locked="0"/>
    </xf>
    <xf numFmtId="0" fontId="0" fillId="0" borderId="0" xfId="0"/>
    <xf numFmtId="17" fontId="0" fillId="0" borderId="0" xfId="0" applyNumberFormat="1"/>
    <xf numFmtId="0" fontId="0" fillId="0" borderId="1" xfId="0" applyBorder="1"/>
    <xf numFmtId="4" fontId="0" fillId="0" borderId="1" xfId="0" applyNumberFormat="1" applyBorder="1"/>
    <xf numFmtId="4" fontId="0" fillId="0" borderId="1" xfId="0" applyNumberFormat="1" applyBorder="1" applyProtection="1">
      <protection locked="0"/>
    </xf>
    <xf numFmtId="2" fontId="0" fillId="0" borderId="1" xfId="0" applyNumberFormat="1" applyBorder="1" applyProtection="1">
      <protection locked="0"/>
    </xf>
    <xf numFmtId="4" fontId="7" fillId="0" borderId="1" xfId="0" applyNumberFormat="1" applyFont="1" applyBorder="1" applyProtection="1">
      <protection locked="0"/>
    </xf>
    <xf numFmtId="0" fontId="0" fillId="0" borderId="1" xfId="0" applyNumberFormat="1" applyBorder="1" applyProtection="1">
      <protection locked="0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4" fontId="0" fillId="0" borderId="0" xfId="0" applyNumberFormat="1"/>
    <xf numFmtId="0" fontId="1" fillId="0" borderId="0" xfId="0" applyFont="1"/>
    <xf numFmtId="0" fontId="2" fillId="0" borderId="1" xfId="0" applyFont="1" applyBorder="1" applyAlignment="1">
      <alignment horizontal="center" vertical="center"/>
    </xf>
    <xf numFmtId="4" fontId="6" fillId="0" borderId="1" xfId="0" applyNumberFormat="1" applyFont="1" applyBorder="1" applyProtection="1">
      <protection locked="0"/>
    </xf>
    <xf numFmtId="4" fontId="9" fillId="0" borderId="1" xfId="0" applyNumberFormat="1" applyFont="1" applyBorder="1" applyProtection="1">
      <protection locked="0"/>
    </xf>
    <xf numFmtId="2" fontId="9" fillId="0" borderId="1" xfId="0" applyNumberFormat="1" applyFont="1" applyBorder="1" applyProtection="1">
      <protection locked="0"/>
    </xf>
    <xf numFmtId="4" fontId="8" fillId="0" borderId="1" xfId="0" applyNumberFormat="1" applyFont="1" applyBorder="1" applyProtection="1">
      <protection locked="0"/>
    </xf>
    <xf numFmtId="4" fontId="1" fillId="0" borderId="1" xfId="0" applyNumberFormat="1" applyFont="1" applyBorder="1"/>
    <xf numFmtId="0" fontId="10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0" fillId="0" borderId="1" xfId="0" applyNumberFormat="1" applyBorder="1"/>
    <xf numFmtId="4" fontId="5" fillId="0" borderId="1" xfId="0" applyNumberFormat="1" applyFont="1" applyBorder="1"/>
    <xf numFmtId="0" fontId="0" fillId="0" borderId="0" xfId="0" applyAlignment="1">
      <alignment horizontal="center" vertical="center"/>
    </xf>
    <xf numFmtId="4" fontId="1" fillId="0" borderId="0" xfId="0" applyNumberFormat="1" applyFont="1"/>
    <xf numFmtId="4" fontId="0" fillId="0" borderId="1" xfId="0" applyNumberFormat="1" applyFont="1" applyBorder="1"/>
    <xf numFmtId="2" fontId="0" fillId="0" borderId="0" xfId="0" applyNumberFormat="1"/>
    <xf numFmtId="2" fontId="0" fillId="0" borderId="0" xfId="0" applyNumberFormat="1" applyAlignment="1"/>
    <xf numFmtId="2" fontId="1" fillId="0" borderId="0" xfId="0" applyNumberFormat="1" applyFont="1" applyAlignment="1"/>
    <xf numFmtId="0" fontId="11" fillId="0" borderId="0" xfId="0" applyFont="1"/>
    <xf numFmtId="0" fontId="11" fillId="0" borderId="0" xfId="0" applyFont="1" applyAlignment="1"/>
    <xf numFmtId="0" fontId="0" fillId="0" borderId="0" xfId="0" applyNumberFormat="1" applyProtection="1">
      <protection locked="0"/>
    </xf>
    <xf numFmtId="49" fontId="12" fillId="0" borderId="0" xfId="0" applyNumberFormat="1" applyFont="1" applyProtection="1">
      <protection locked="0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4" fontId="13" fillId="0" borderId="0" xfId="0" applyNumberFormat="1" applyFont="1"/>
    <xf numFmtId="2" fontId="0" fillId="0" borderId="0" xfId="0" applyNumberFormat="1" applyAlignment="1">
      <alignment horizontal="center"/>
    </xf>
    <xf numFmtId="0" fontId="6" fillId="0" borderId="0" xfId="0" applyFont="1"/>
    <xf numFmtId="4" fontId="6" fillId="0" borderId="0" xfId="0" applyNumberFormat="1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4" fontId="0" fillId="0" borderId="0" xfId="0" applyNumberFormat="1" applyBorder="1"/>
    <xf numFmtId="0" fontId="0" fillId="0" borderId="0" xfId="0" applyBorder="1"/>
    <xf numFmtId="0" fontId="0" fillId="0" borderId="7" xfId="0" applyBorder="1"/>
    <xf numFmtId="4" fontId="0" fillId="0" borderId="7" xfId="0" applyNumberForma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4" fillId="0" borderId="0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1" xfId="0" applyBorder="1" applyAlignment="1"/>
    <xf numFmtId="2" fontId="0" fillId="0" borderId="1" xfId="0" applyNumberFormat="1" applyBorder="1" applyAlignment="1">
      <alignment horizontal="center"/>
    </xf>
    <xf numFmtId="2" fontId="0" fillId="0" borderId="1" xfId="0" applyNumberFormat="1" applyBorder="1" applyAlignment="1"/>
    <xf numFmtId="0" fontId="14" fillId="0" borderId="11" xfId="0" applyFont="1" applyBorder="1" applyAlignment="1">
      <alignment horizontal="center" vertical="center"/>
    </xf>
    <xf numFmtId="0" fontId="4" fillId="0" borderId="1" xfId="0" applyFont="1" applyBorder="1"/>
    <xf numFmtId="4" fontId="4" fillId="0" borderId="1" xfId="0" applyNumberFormat="1" applyFont="1" applyBorder="1"/>
    <xf numFmtId="0" fontId="4" fillId="0" borderId="1" xfId="0" applyFont="1" applyFill="1" applyBorder="1" applyAlignment="1"/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2" xfId="0" applyBorder="1" applyAlignment="1"/>
    <xf numFmtId="0" fontId="0" fillId="0" borderId="13" xfId="0" applyBorder="1" applyAlignment="1"/>
    <xf numFmtId="0" fontId="4" fillId="0" borderId="12" xfId="0" applyFont="1" applyBorder="1" applyAlignment="1"/>
    <xf numFmtId="0" fontId="4" fillId="0" borderId="13" xfId="0" applyFont="1" applyBorder="1" applyAlignment="1"/>
    <xf numFmtId="2" fontId="4" fillId="0" borderId="12" xfId="0" applyNumberFormat="1" applyFont="1" applyBorder="1" applyAlignment="1"/>
    <xf numFmtId="2" fontId="0" fillId="0" borderId="12" xfId="0" applyNumberFormat="1" applyBorder="1" applyAlignment="1"/>
    <xf numFmtId="2" fontId="0" fillId="0" borderId="13" xfId="0" applyNumberFormat="1" applyBorder="1" applyAlignment="1"/>
    <xf numFmtId="2" fontId="8" fillId="0" borderId="12" xfId="0" applyNumberFormat="1" applyFont="1" applyBorder="1" applyAlignment="1"/>
    <xf numFmtId="0" fontId="0" fillId="0" borderId="16" xfId="0" applyBorder="1" applyAlignment="1"/>
    <xf numFmtId="0" fontId="0" fillId="0" borderId="15" xfId="0" applyBorder="1" applyAlignment="1"/>
    <xf numFmtId="4" fontId="0" fillId="0" borderId="17" xfId="0" applyNumberFormat="1" applyBorder="1"/>
    <xf numFmtId="0" fontId="0" fillId="0" borderId="18" xfId="0" applyBorder="1" applyAlignment="1"/>
    <xf numFmtId="0" fontId="4" fillId="0" borderId="19" xfId="0" applyFont="1" applyBorder="1" applyAlignment="1"/>
    <xf numFmtId="2" fontId="4" fillId="0" borderId="20" xfId="0" applyNumberFormat="1" applyFont="1" applyBorder="1" applyAlignment="1"/>
    <xf numFmtId="0" fontId="0" fillId="0" borderId="19" xfId="0" applyBorder="1" applyAlignment="1"/>
    <xf numFmtId="2" fontId="0" fillId="0" borderId="20" xfId="0" applyNumberFormat="1" applyBorder="1" applyAlignment="1"/>
    <xf numFmtId="2" fontId="8" fillId="0" borderId="20" xfId="0" applyNumberFormat="1" applyFont="1" applyBorder="1" applyAlignment="1"/>
    <xf numFmtId="0" fontId="0" fillId="0" borderId="21" xfId="0" applyBorder="1" applyAlignment="1">
      <alignment horizontal="center"/>
    </xf>
    <xf numFmtId="0" fontId="2" fillId="0" borderId="24" xfId="0" applyFont="1" applyBorder="1"/>
    <xf numFmtId="0" fontId="5" fillId="0" borderId="1" xfId="0" applyFont="1" applyBorder="1"/>
    <xf numFmtId="0" fontId="1" fillId="0" borderId="6" xfId="0" applyFont="1" applyBorder="1"/>
    <xf numFmtId="0" fontId="0" fillId="0" borderId="0" xfId="0" applyFill="1" applyBorder="1"/>
    <xf numFmtId="0" fontId="1" fillId="0" borderId="3" xfId="0" applyFont="1" applyBorder="1"/>
    <xf numFmtId="0" fontId="0" fillId="0" borderId="22" xfId="0" applyBorder="1"/>
    <xf numFmtId="0" fontId="0" fillId="0" borderId="7" xfId="0" applyFill="1" applyBorder="1"/>
    <xf numFmtId="0" fontId="6" fillId="0" borderId="9" xfId="0" applyFont="1" applyBorder="1" applyAlignment="1">
      <alignment horizontal="right"/>
    </xf>
    <xf numFmtId="0" fontId="6" fillId="0" borderId="9" xfId="0" applyFont="1" applyBorder="1"/>
    <xf numFmtId="0" fontId="0" fillId="0" borderId="26" xfId="0" applyBorder="1"/>
    <xf numFmtId="0" fontId="11" fillId="0" borderId="6" xfId="0" applyFont="1" applyBorder="1"/>
    <xf numFmtId="0" fontId="11" fillId="0" borderId="8" xfId="0" applyFont="1" applyBorder="1"/>
    <xf numFmtId="0" fontId="8" fillId="0" borderId="9" xfId="0" applyFont="1" applyBorder="1" applyAlignment="1">
      <alignment horizontal="right"/>
    </xf>
    <xf numFmtId="0" fontId="8" fillId="0" borderId="9" xfId="0" applyFont="1" applyBorder="1"/>
    <xf numFmtId="0" fontId="11" fillId="0" borderId="10" xfId="0" applyFont="1" applyBorder="1" applyAlignment="1"/>
    <xf numFmtId="4" fontId="0" fillId="0" borderId="4" xfId="0" applyNumberFormat="1" applyBorder="1"/>
    <xf numFmtId="4" fontId="8" fillId="0" borderId="9" xfId="0" applyNumberFormat="1" applyFont="1" applyBorder="1"/>
    <xf numFmtId="0" fontId="17" fillId="0" borderId="0" xfId="0" applyFont="1"/>
    <xf numFmtId="0" fontId="18" fillId="0" borderId="0" xfId="0" applyFont="1"/>
    <xf numFmtId="0" fontId="20" fillId="0" borderId="0" xfId="0" applyFont="1"/>
    <xf numFmtId="2" fontId="22" fillId="3" borderId="0" xfId="0" applyNumberFormat="1" applyFont="1" applyFill="1" applyAlignment="1"/>
    <xf numFmtId="0" fontId="0" fillId="0" borderId="27" xfId="0" applyBorder="1"/>
    <xf numFmtId="0" fontId="0" fillId="0" borderId="30" xfId="0" applyBorder="1"/>
    <xf numFmtId="0" fontId="0" fillId="0" borderId="31" xfId="0" applyBorder="1"/>
    <xf numFmtId="0" fontId="27" fillId="0" borderId="0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/>
    </xf>
    <xf numFmtId="0" fontId="30" fillId="0" borderId="0" xfId="0" applyFont="1" applyBorder="1"/>
    <xf numFmtId="0" fontId="31" fillId="0" borderId="0" xfId="0" applyFont="1" applyBorder="1" applyAlignment="1"/>
    <xf numFmtId="0" fontId="5" fillId="0" borderId="0" xfId="0" applyFont="1" applyBorder="1"/>
    <xf numFmtId="0" fontId="29" fillId="0" borderId="30" xfId="0" applyFont="1" applyBorder="1" applyAlignment="1">
      <alignment horizontal="left" vertical="center" indent="1"/>
    </xf>
    <xf numFmtId="0" fontId="29" fillId="0" borderId="0" xfId="0" applyFont="1" applyBorder="1" applyAlignment="1">
      <alignment horizontal="left" vertical="center" indent="1"/>
    </xf>
    <xf numFmtId="0" fontId="32" fillId="0" borderId="0" xfId="0" applyFon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0" xfId="0" applyAlignment="1">
      <alignment vertical="center"/>
    </xf>
    <xf numFmtId="0" fontId="34" fillId="0" borderId="1" xfId="0" applyFont="1" applyBorder="1" applyAlignment="1">
      <alignment horizontal="center"/>
    </xf>
    <xf numFmtId="0" fontId="34" fillId="0" borderId="1" xfId="0" applyFont="1" applyFill="1" applyBorder="1" applyAlignment="1">
      <alignment horizontal="center"/>
    </xf>
    <xf numFmtId="0" fontId="37" fillId="0" borderId="0" xfId="0" applyFont="1" applyAlignment="1">
      <alignment horizontal="left" vertical="center"/>
    </xf>
    <xf numFmtId="0" fontId="37" fillId="0" borderId="0" xfId="0" applyFont="1" applyBorder="1" applyAlignment="1">
      <alignment horizontal="left" vertical="center"/>
    </xf>
    <xf numFmtId="0" fontId="34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43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2" fontId="44" fillId="0" borderId="1" xfId="0" applyNumberFormat="1" applyFont="1" applyBorder="1" applyAlignment="1">
      <alignment horizontal="center" vertical="center"/>
    </xf>
    <xf numFmtId="4" fontId="44" fillId="0" borderId="1" xfId="0" applyNumberFormat="1" applyFont="1" applyBorder="1" applyAlignment="1">
      <alignment horizontal="center" vertical="center"/>
    </xf>
    <xf numFmtId="49" fontId="45" fillId="0" borderId="1" xfId="0" applyNumberFormat="1" applyFont="1" applyBorder="1" applyAlignment="1" applyProtection="1">
      <alignment horizontal="center" vertical="center"/>
      <protection locked="0"/>
    </xf>
    <xf numFmtId="0" fontId="49" fillId="0" borderId="0" xfId="0" applyFont="1" applyBorder="1" applyAlignment="1">
      <alignment horizontal="center"/>
    </xf>
    <xf numFmtId="0" fontId="50" fillId="0" borderId="0" xfId="0" applyFont="1" applyBorder="1" applyAlignment="1"/>
    <xf numFmtId="0" fontId="51" fillId="0" borderId="0" xfId="0" applyFont="1" applyBorder="1" applyAlignment="1">
      <alignment horizontal="right"/>
    </xf>
    <xf numFmtId="0" fontId="52" fillId="0" borderId="0" xfId="0" applyFont="1" applyBorder="1" applyAlignment="1"/>
    <xf numFmtId="0" fontId="0" fillId="0" borderId="35" xfId="0" applyBorder="1"/>
    <xf numFmtId="0" fontId="0" fillId="0" borderId="36" xfId="0" applyBorder="1"/>
    <xf numFmtId="0" fontId="0" fillId="0" borderId="38" xfId="0" applyBorder="1"/>
    <xf numFmtId="0" fontId="54" fillId="0" borderId="1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49" fillId="0" borderId="36" xfId="0" applyFont="1" applyBorder="1"/>
    <xf numFmtId="0" fontId="49" fillId="0" borderId="0" xfId="0" applyFont="1" applyBorder="1"/>
    <xf numFmtId="2" fontId="39" fillId="0" borderId="1" xfId="0" applyNumberFormat="1" applyFont="1" applyBorder="1" applyAlignment="1">
      <alignment vertical="center"/>
    </xf>
    <xf numFmtId="2" fontId="39" fillId="0" borderId="36" xfId="0" applyNumberFormat="1" applyFont="1" applyBorder="1"/>
    <xf numFmtId="2" fontId="57" fillId="0" borderId="1" xfId="0" applyNumberFormat="1" applyFont="1" applyBorder="1" applyAlignment="1">
      <alignment horizontal="center" vertical="center"/>
    </xf>
    <xf numFmtId="0" fontId="0" fillId="0" borderId="0" xfId="0" applyAlignment="1"/>
    <xf numFmtId="0" fontId="49" fillId="0" borderId="35" xfId="0" applyFont="1" applyBorder="1" applyAlignment="1">
      <alignment horizontal="left"/>
    </xf>
    <xf numFmtId="0" fontId="0" fillId="0" borderId="40" xfId="0" applyBorder="1"/>
    <xf numFmtId="0" fontId="49" fillId="0" borderId="0" xfId="0" applyFont="1" applyBorder="1" applyAlignment="1">
      <alignment horizontal="left"/>
    </xf>
    <xf numFmtId="2" fontId="59" fillId="0" borderId="0" xfId="0" applyNumberFormat="1" applyFont="1" applyBorder="1" applyAlignment="1">
      <alignment horizontal="center"/>
    </xf>
    <xf numFmtId="2" fontId="40" fillId="0" borderId="0" xfId="0" applyNumberFormat="1" applyFont="1" applyBorder="1" applyAlignment="1">
      <alignment horizontal="center" vertical="center"/>
    </xf>
    <xf numFmtId="0" fontId="0" fillId="0" borderId="41" xfId="0" applyBorder="1"/>
    <xf numFmtId="0" fontId="0" fillId="0" borderId="39" xfId="0" applyBorder="1"/>
    <xf numFmtId="0" fontId="35" fillId="0" borderId="0" xfId="0" applyFont="1" applyBorder="1"/>
    <xf numFmtId="0" fontId="0" fillId="0" borderId="42" xfId="0" applyBorder="1"/>
    <xf numFmtId="0" fontId="49" fillId="0" borderId="35" xfId="0" applyFont="1" applyBorder="1"/>
    <xf numFmtId="0" fontId="61" fillId="0" borderId="1" xfId="0" applyFont="1" applyBorder="1" applyAlignment="1">
      <alignment horizontal="center" vertical="center"/>
    </xf>
    <xf numFmtId="0" fontId="1" fillId="0" borderId="0" xfId="0" applyFont="1" applyFill="1" applyBorder="1"/>
    <xf numFmtId="0" fontId="62" fillId="0" borderId="0" xfId="0" applyFont="1" applyBorder="1"/>
    <xf numFmtId="0" fontId="54" fillId="0" borderId="36" xfId="0" applyFont="1" applyBorder="1" applyAlignment="1">
      <alignment horizontal="center" vertical="center"/>
    </xf>
    <xf numFmtId="2" fontId="58" fillId="0" borderId="36" xfId="0" applyNumberFormat="1" applyFont="1" applyBorder="1" applyAlignment="1">
      <alignment horizontal="right" vertical="top"/>
    </xf>
    <xf numFmtId="0" fontId="49" fillId="0" borderId="36" xfId="0" applyFont="1" applyBorder="1" applyAlignment="1"/>
    <xf numFmtId="0" fontId="0" fillId="0" borderId="43" xfId="0" applyBorder="1"/>
    <xf numFmtId="0" fontId="0" fillId="0" borderId="1" xfId="0" applyBorder="1" applyAlignment="1">
      <alignment horizontal="center"/>
    </xf>
    <xf numFmtId="0" fontId="45" fillId="0" borderId="1" xfId="0" applyNumberFormat="1" applyFont="1" applyBorder="1" applyAlignment="1" applyProtection="1">
      <alignment horizontal="center" vertical="center"/>
      <protection locked="0"/>
    </xf>
    <xf numFmtId="0" fontId="16" fillId="0" borderId="43" xfId="0" applyFont="1" applyBorder="1" applyAlignment="1">
      <alignment vertical="center"/>
    </xf>
    <xf numFmtId="0" fontId="16" fillId="0" borderId="13" xfId="0" applyFont="1" applyBorder="1" applyAlignment="1">
      <alignment vertical="center"/>
    </xf>
    <xf numFmtId="164" fontId="44" fillId="0" borderId="1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/>
    <xf numFmtId="164" fontId="0" fillId="0" borderId="12" xfId="0" applyNumberFormat="1" applyBorder="1" applyAlignment="1"/>
    <xf numFmtId="164" fontId="0" fillId="0" borderId="1" xfId="0" applyNumberFormat="1" applyBorder="1" applyAlignment="1">
      <alignment horizontal="center"/>
    </xf>
    <xf numFmtId="164" fontId="5" fillId="0" borderId="12" xfId="0" applyNumberFormat="1" applyFont="1" applyBorder="1" applyAlignment="1"/>
    <xf numFmtId="164" fontId="0" fillId="0" borderId="1" xfId="0" applyNumberFormat="1" applyBorder="1"/>
    <xf numFmtId="164" fontId="0" fillId="0" borderId="1" xfId="0" applyNumberFormat="1" applyBorder="1" applyAlignment="1"/>
    <xf numFmtId="164" fontId="5" fillId="0" borderId="1" xfId="0" applyNumberFormat="1" applyFont="1" applyBorder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2" fontId="2" fillId="0" borderId="24" xfId="0" applyNumberFormat="1" applyFont="1" applyBorder="1" applyAlignment="1">
      <alignment horizontal="center"/>
    </xf>
    <xf numFmtId="2" fontId="2" fillId="0" borderId="25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9" fillId="2" borderId="0" xfId="0" applyFont="1" applyFill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2" fontId="4" fillId="0" borderId="1" xfId="0" applyNumberFormat="1" applyFont="1" applyBorder="1" applyAlignment="1">
      <alignment horizontal="center"/>
    </xf>
    <xf numFmtId="2" fontId="8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0" fontId="16" fillId="0" borderId="12" xfId="0" applyFont="1" applyBorder="1" applyAlignment="1">
      <alignment horizontal="center" vertical="center"/>
    </xf>
    <xf numFmtId="0" fontId="16" fillId="0" borderId="43" xfId="0" applyFont="1" applyBorder="1" applyAlignment="1">
      <alignment horizontal="center" vertical="center"/>
    </xf>
    <xf numFmtId="0" fontId="21" fillId="2" borderId="0" xfId="0" applyFont="1" applyFill="1" applyAlignment="1">
      <alignment horizontal="center" vertical="center" wrapText="1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164" fontId="4" fillId="0" borderId="12" xfId="0" applyNumberFormat="1" applyFont="1" applyBorder="1" applyAlignment="1">
      <alignment horizontal="center"/>
    </xf>
    <xf numFmtId="164" fontId="0" fillId="0" borderId="13" xfId="0" applyNumberFormat="1" applyBorder="1"/>
    <xf numFmtId="164" fontId="4" fillId="0" borderId="13" xfId="0" applyNumberFormat="1" applyFont="1" applyBorder="1" applyAlignment="1">
      <alignment horizontal="center"/>
    </xf>
    <xf numFmtId="2" fontId="4" fillId="0" borderId="12" xfId="0" applyNumberFormat="1" applyFont="1" applyBorder="1" applyAlignment="1">
      <alignment horizontal="center"/>
    </xf>
    <xf numFmtId="2" fontId="4" fillId="0" borderId="13" xfId="0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164" fontId="8" fillId="0" borderId="12" xfId="0" applyNumberFormat="1" applyFont="1" applyBorder="1" applyAlignment="1">
      <alignment horizontal="center"/>
    </xf>
    <xf numFmtId="164" fontId="8" fillId="0" borderId="13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2" fontId="8" fillId="0" borderId="13" xfId="0" applyNumberFormat="1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164" fontId="5" fillId="0" borderId="12" xfId="0" applyNumberFormat="1" applyFont="1" applyBorder="1" applyAlignment="1">
      <alignment horizontal="center"/>
    </xf>
    <xf numFmtId="164" fontId="5" fillId="0" borderId="13" xfId="0" applyNumberFormat="1" applyFont="1" applyBorder="1" applyAlignment="1">
      <alignment horizontal="center"/>
    </xf>
    <xf numFmtId="2" fontId="5" fillId="0" borderId="12" xfId="0" applyNumberFormat="1" applyFont="1" applyBorder="1" applyAlignment="1">
      <alignment horizontal="center"/>
    </xf>
    <xf numFmtId="2" fontId="5" fillId="0" borderId="13" xfId="0" applyNumberFormat="1" applyFont="1" applyBorder="1" applyAlignment="1">
      <alignment horizontal="center"/>
    </xf>
    <xf numFmtId="0" fontId="69" fillId="4" borderId="44" xfId="0" applyFont="1" applyFill="1" applyBorder="1" applyAlignment="1">
      <alignment horizontal="center"/>
    </xf>
    <xf numFmtId="0" fontId="69" fillId="4" borderId="45" xfId="0" applyFont="1" applyFill="1" applyBorder="1" applyAlignment="1">
      <alignment horizontal="center"/>
    </xf>
    <xf numFmtId="0" fontId="36" fillId="0" borderId="0" xfId="0" applyFont="1" applyAlignment="1">
      <alignment horizontal="right"/>
    </xf>
    <xf numFmtId="0" fontId="36" fillId="0" borderId="35" xfId="0" applyFont="1" applyBorder="1" applyAlignment="1">
      <alignment horizontal="right"/>
    </xf>
    <xf numFmtId="0" fontId="38" fillId="0" borderId="0" xfId="0" applyFont="1" applyAlignment="1">
      <alignment horizontal="left" vertical="center"/>
    </xf>
    <xf numFmtId="0" fontId="38" fillId="0" borderId="35" xfId="0" applyFont="1" applyBorder="1" applyAlignment="1">
      <alignment horizontal="left" vertical="center"/>
    </xf>
    <xf numFmtId="2" fontId="41" fillId="0" borderId="1" xfId="0" applyNumberFormat="1" applyFont="1" applyBorder="1" applyAlignment="1">
      <alignment horizontal="center" vertical="center"/>
    </xf>
    <xf numFmtId="2" fontId="42" fillId="0" borderId="1" xfId="0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left" vertical="center"/>
    </xf>
    <xf numFmtId="0" fontId="29" fillId="0" borderId="0" xfId="0" applyFont="1" applyBorder="1" applyAlignment="1">
      <alignment horizontal="left" vertical="center" indent="2"/>
    </xf>
    <xf numFmtId="0" fontId="30" fillId="0" borderId="0" xfId="0" applyFont="1" applyBorder="1" applyAlignment="1">
      <alignment horizontal="center"/>
    </xf>
    <xf numFmtId="0" fontId="30" fillId="0" borderId="31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30" xfId="0" applyFont="1" applyBorder="1" applyAlignment="1">
      <alignment horizontal="center"/>
    </xf>
    <xf numFmtId="0" fontId="29" fillId="0" borderId="0" xfId="0" applyFont="1" applyBorder="1" applyAlignment="1">
      <alignment horizontal="left" vertical="center" indent="1"/>
    </xf>
    <xf numFmtId="0" fontId="23" fillId="0" borderId="28" xfId="0" applyFont="1" applyBorder="1" applyAlignment="1">
      <alignment horizontal="center" vertical="center"/>
    </xf>
    <xf numFmtId="0" fontId="23" fillId="0" borderId="29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/>
    </xf>
    <xf numFmtId="0" fontId="24" fillId="0" borderId="31" xfId="0" applyFont="1" applyBorder="1" applyAlignment="1">
      <alignment horizontal="center"/>
    </xf>
    <xf numFmtId="0" fontId="25" fillId="0" borderId="0" xfId="0" applyFont="1" applyBorder="1" applyAlignment="1">
      <alignment horizontal="right" vertical="center"/>
    </xf>
    <xf numFmtId="0" fontId="25" fillId="0" borderId="31" xfId="0" applyFont="1" applyBorder="1" applyAlignment="1">
      <alignment horizontal="right" vertical="center"/>
    </xf>
    <xf numFmtId="0" fontId="26" fillId="0" borderId="0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/>
    </xf>
    <xf numFmtId="2" fontId="68" fillId="0" borderId="0" xfId="0" applyNumberFormat="1" applyFont="1" applyBorder="1" applyAlignment="1">
      <alignment horizontal="right" vertical="center"/>
    </xf>
    <xf numFmtId="2" fontId="68" fillId="0" borderId="35" xfId="0" applyNumberFormat="1" applyFont="1" applyBorder="1" applyAlignment="1">
      <alignment horizontal="right" vertical="center"/>
    </xf>
    <xf numFmtId="4" fontId="67" fillId="0" borderId="0" xfId="0" applyNumberFormat="1" applyFont="1" applyAlignment="1">
      <alignment horizontal="right"/>
    </xf>
    <xf numFmtId="4" fontId="60" fillId="0" borderId="0" xfId="0" applyNumberFormat="1" applyFont="1" applyAlignment="1">
      <alignment horizontal="right"/>
    </xf>
    <xf numFmtId="2" fontId="57" fillId="0" borderId="1" xfId="0" applyNumberFormat="1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/>
    </xf>
    <xf numFmtId="2" fontId="64" fillId="0" borderId="0" xfId="0" applyNumberFormat="1" applyFont="1" applyAlignment="1">
      <alignment horizontal="left"/>
    </xf>
    <xf numFmtId="2" fontId="64" fillId="0" borderId="35" xfId="0" applyNumberFormat="1" applyFont="1" applyBorder="1" applyAlignment="1">
      <alignment horizontal="left"/>
    </xf>
    <xf numFmtId="2" fontId="40" fillId="0" borderId="35" xfId="0" applyNumberFormat="1" applyFont="1" applyBorder="1" applyAlignment="1">
      <alignment horizontal="center" vertical="center"/>
    </xf>
    <xf numFmtId="0" fontId="44" fillId="0" borderId="12" xfId="0" applyFont="1" applyBorder="1" applyAlignment="1">
      <alignment horizontal="center" vertical="center"/>
    </xf>
    <xf numFmtId="0" fontId="44" fillId="0" borderId="13" xfId="0" applyFont="1" applyBorder="1" applyAlignment="1">
      <alignment horizontal="center" vertical="center"/>
    </xf>
    <xf numFmtId="0" fontId="49" fillId="0" borderId="37" xfId="0" applyFont="1" applyBorder="1" applyAlignment="1">
      <alignment horizontal="center"/>
    </xf>
    <xf numFmtId="0" fontId="56" fillId="0" borderId="1" xfId="0" applyFont="1" applyBorder="1" applyAlignment="1">
      <alignment horizontal="center" vertical="center"/>
    </xf>
    <xf numFmtId="2" fontId="39" fillId="0" borderId="1" xfId="0" applyNumberFormat="1" applyFont="1" applyBorder="1" applyAlignment="1">
      <alignment horizontal="center"/>
    </xf>
    <xf numFmtId="0" fontId="46" fillId="0" borderId="0" xfId="0" applyFont="1" applyBorder="1" applyAlignment="1">
      <alignment horizontal="center" vertical="top"/>
    </xf>
    <xf numFmtId="0" fontId="47" fillId="0" borderId="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/>
    </xf>
    <xf numFmtId="0" fontId="50" fillId="0" borderId="37" xfId="0" applyFont="1" applyBorder="1" applyAlignment="1">
      <alignment horizontal="center"/>
    </xf>
    <xf numFmtId="0" fontId="50" fillId="0" borderId="38" xfId="0" applyFont="1" applyBorder="1" applyAlignment="1">
      <alignment horizontal="center"/>
    </xf>
    <xf numFmtId="0" fontId="53" fillId="0" borderId="1" xfId="0" applyFont="1" applyBorder="1" applyAlignment="1">
      <alignment horizontal="center"/>
    </xf>
    <xf numFmtId="0" fontId="55" fillId="0" borderId="1" xfId="0" applyFont="1" applyBorder="1" applyAlignment="1">
      <alignment horizontal="center" vertical="center"/>
    </xf>
    <xf numFmtId="0" fontId="63" fillId="0" borderId="3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70" fillId="4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247650</xdr:colOff>
      <xdr:row>0</xdr:row>
      <xdr:rowOff>28576</xdr:rowOff>
    </xdr:from>
    <xdr:to>
      <xdr:col>10</xdr:col>
      <xdr:colOff>598590</xdr:colOff>
      <xdr:row>27</xdr:row>
      <xdr:rowOff>171451</xdr:rowOff>
    </xdr:to>
    <xdr:pic>
      <xdr:nvPicPr>
        <xdr:cNvPr id="15" name="Picture 14" descr="welllfron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295650" y="28576"/>
          <a:ext cx="3398940" cy="4933950"/>
        </a:xfrm>
        <a:prstGeom prst="rect">
          <a:avLst/>
        </a:prstGeom>
      </xdr:spPr>
    </xdr:pic>
    <xdr:clientData/>
  </xdr:twoCellAnchor>
  <xdr:twoCellAnchor editAs="oneCell">
    <xdr:from>
      <xdr:col>26</xdr:col>
      <xdr:colOff>238125</xdr:colOff>
      <xdr:row>7</xdr:row>
      <xdr:rowOff>171451</xdr:rowOff>
    </xdr:from>
    <xdr:to>
      <xdr:col>27</xdr:col>
      <xdr:colOff>533400</xdr:colOff>
      <xdr:row>13</xdr:row>
      <xdr:rowOff>6428</xdr:rowOff>
    </xdr:to>
    <xdr:pic>
      <xdr:nvPicPr>
        <xdr:cNvPr id="3" name="Picture 2" descr="Untitled-1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4868525" y="1638301"/>
          <a:ext cx="904875" cy="806527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285750</xdr:colOff>
      <xdr:row>37</xdr:row>
      <xdr:rowOff>142876</xdr:rowOff>
    </xdr:from>
    <xdr:to>
      <xdr:col>24</xdr:col>
      <xdr:colOff>476250</xdr:colOff>
      <xdr:row>64</xdr:row>
      <xdr:rowOff>123826</xdr:rowOff>
    </xdr:to>
    <xdr:pic>
      <xdr:nvPicPr>
        <xdr:cNvPr id="6" name="Picture 5" descr="welll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7943850" y="6848476"/>
          <a:ext cx="6734175" cy="5124450"/>
        </a:xfrm>
        <a:prstGeom prst="rect">
          <a:avLst/>
        </a:prstGeom>
      </xdr:spPr>
    </xdr:pic>
    <xdr:clientData/>
  </xdr:twoCellAnchor>
  <xdr:twoCellAnchor>
    <xdr:from>
      <xdr:col>26</xdr:col>
      <xdr:colOff>742950</xdr:colOff>
      <xdr:row>4</xdr:row>
      <xdr:rowOff>76200</xdr:rowOff>
    </xdr:from>
    <xdr:to>
      <xdr:col>30</xdr:col>
      <xdr:colOff>238125</xdr:colOff>
      <xdr:row>6</xdr:row>
      <xdr:rowOff>104775</xdr:rowOff>
    </xdr:to>
    <xdr:sp macro="" textlink="">
      <xdr:nvSpPr>
        <xdr:cNvPr id="7" name="Rounded Rectangle 6"/>
        <xdr:cNvSpPr/>
      </xdr:nvSpPr>
      <xdr:spPr>
        <a:xfrm>
          <a:off x="1828800" y="971550"/>
          <a:ext cx="2066925" cy="40957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oneCellAnchor>
    <xdr:from>
      <xdr:col>27</xdr:col>
      <xdr:colOff>238114</xdr:colOff>
      <xdr:row>4</xdr:row>
      <xdr:rowOff>105314</xdr:rowOff>
    </xdr:from>
    <xdr:ext cx="2647968" cy="467757"/>
    <xdr:sp macro="" textlink="">
      <xdr:nvSpPr>
        <xdr:cNvPr id="8" name="Rectangle 7"/>
        <xdr:cNvSpPr/>
      </xdr:nvSpPr>
      <xdr:spPr>
        <a:xfrm>
          <a:off x="2066914" y="1000664"/>
          <a:ext cx="2647968" cy="467757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400" b="1" cap="none" spc="50">
              <a:ln w="11430"/>
              <a:solidFill>
                <a:sysClr val="windowText" lastClr="00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Impact" pitchFamily="34" charset="0"/>
            </a:rPr>
            <a:t>MONTHLY PAY CARD</a:t>
          </a:r>
        </a:p>
      </xdr:txBody>
    </xdr:sp>
    <xdr:clientData/>
  </xdr:oneCellAnchor>
  <xdr:twoCellAnchor>
    <xdr:from>
      <xdr:col>30</xdr:col>
      <xdr:colOff>104775</xdr:colOff>
      <xdr:row>9</xdr:row>
      <xdr:rowOff>19050</xdr:rowOff>
    </xdr:from>
    <xdr:to>
      <xdr:col>34</xdr:col>
      <xdr:colOff>314325</xdr:colOff>
      <xdr:row>18</xdr:row>
      <xdr:rowOff>28575</xdr:rowOff>
    </xdr:to>
    <xdr:sp macro="" textlink="">
      <xdr:nvSpPr>
        <xdr:cNvPr id="9" name="Rounded Rectangle 8"/>
        <xdr:cNvSpPr/>
      </xdr:nvSpPr>
      <xdr:spPr>
        <a:xfrm>
          <a:off x="3762375" y="1866900"/>
          <a:ext cx="2647950" cy="19431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oneCellAnchor>
    <xdr:from>
      <xdr:col>6</xdr:col>
      <xdr:colOff>99735</xdr:colOff>
      <xdr:row>17</xdr:row>
      <xdr:rowOff>162464</xdr:rowOff>
    </xdr:from>
    <xdr:ext cx="733983" cy="338747"/>
    <xdr:sp macro="" textlink="">
      <xdr:nvSpPr>
        <xdr:cNvPr id="10" name="Rectangle 9"/>
        <xdr:cNvSpPr/>
      </xdr:nvSpPr>
      <xdr:spPr>
        <a:xfrm>
          <a:off x="3757335" y="3181889"/>
          <a:ext cx="733983" cy="33874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6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solidFill>
                <a:sysClr val="windowText" lastClr="000000"/>
              </a:solidFill>
              <a:effectLst/>
              <a:latin typeface="Adobe Garamond Pro Bold" pitchFamily="18" charset="0"/>
            </a:rPr>
            <a:t>Name:</a:t>
          </a:r>
        </a:p>
      </xdr:txBody>
    </xdr:sp>
    <xdr:clientData/>
  </xdr:oneCellAnchor>
  <xdr:oneCellAnchor>
    <xdr:from>
      <xdr:col>6</xdr:col>
      <xdr:colOff>133350</xdr:colOff>
      <xdr:row>19</xdr:row>
      <xdr:rowOff>114839</xdr:rowOff>
    </xdr:from>
    <xdr:ext cx="2600325" cy="338747"/>
    <xdr:sp macro="" textlink="$P$1">
      <xdr:nvSpPr>
        <xdr:cNvPr id="11" name="Rectangle 10"/>
        <xdr:cNvSpPr/>
      </xdr:nvSpPr>
      <xdr:spPr>
        <a:xfrm>
          <a:off x="3790950" y="3696239"/>
          <a:ext cx="2600325" cy="3387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fld id="{30A69C62-9095-403E-BFA0-D7E93C232529}" type="TxLink">
            <a:rPr lang="en-US" sz="2000" b="0" i="1" u="none" strike="noStrike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solidFill>
                <a:srgbClr val="000000"/>
              </a:solidFill>
              <a:effectLst/>
              <a:latin typeface="Adobe Garamond Pro Bold"/>
            </a:rPr>
            <a:pPr algn="l"/>
            <a:t>Kakali Dutta</a:t>
          </a:fld>
          <a:endParaRPr lang="en-US" sz="28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solidFill>
              <a:sysClr val="windowText" lastClr="000000"/>
            </a:solidFill>
            <a:effectLst/>
            <a:latin typeface="Adobe Garamond Pro Bold" pitchFamily="18" charset="0"/>
          </a:endParaRPr>
        </a:p>
      </xdr:txBody>
    </xdr:sp>
    <xdr:clientData/>
  </xdr:oneCellAnchor>
  <xdr:oneCellAnchor>
    <xdr:from>
      <xdr:col>6</xdr:col>
      <xdr:colOff>247650</xdr:colOff>
      <xdr:row>22</xdr:row>
      <xdr:rowOff>190500</xdr:rowOff>
    </xdr:from>
    <xdr:ext cx="2600325" cy="338747"/>
    <xdr:sp macro="" textlink="">
      <xdr:nvSpPr>
        <xdr:cNvPr id="12" name="Rectangle 11"/>
        <xdr:cNvSpPr/>
      </xdr:nvSpPr>
      <xdr:spPr>
        <a:xfrm>
          <a:off x="3905250" y="4381500"/>
          <a:ext cx="2600325" cy="3387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n-US" sz="2000" b="0" i="0" u="none" strike="noStrike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solidFill>
                <a:srgbClr val="000000"/>
              </a:solidFill>
              <a:effectLst/>
              <a:latin typeface="Adobe Garamond Pro Bold"/>
            </a:rPr>
            <a:t>Session:  2021-2022</a:t>
          </a:r>
        </a:p>
      </xdr:txBody>
    </xdr:sp>
    <xdr:clientData/>
  </xdr:oneCellAnchor>
  <xdr:twoCellAnchor>
    <xdr:from>
      <xdr:col>12</xdr:col>
      <xdr:colOff>66674</xdr:colOff>
      <xdr:row>0</xdr:row>
      <xdr:rowOff>38100</xdr:rowOff>
    </xdr:from>
    <xdr:to>
      <xdr:col>22</xdr:col>
      <xdr:colOff>76200</xdr:colOff>
      <xdr:row>27</xdr:row>
      <xdr:rowOff>123824</xdr:rowOff>
    </xdr:to>
    <xdr:sp macro="" textlink="">
      <xdr:nvSpPr>
        <xdr:cNvPr id="13" name="Rectangle 12"/>
        <xdr:cNvSpPr/>
      </xdr:nvSpPr>
      <xdr:spPr>
        <a:xfrm>
          <a:off x="6915149" y="38100"/>
          <a:ext cx="6619876" cy="487679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28575</xdr:colOff>
      <xdr:row>28</xdr:row>
      <xdr:rowOff>19050</xdr:rowOff>
    </xdr:to>
    <xdr:sp macro="" textlink="">
      <xdr:nvSpPr>
        <xdr:cNvPr id="14" name="Rectangle 13"/>
        <xdr:cNvSpPr/>
      </xdr:nvSpPr>
      <xdr:spPr>
        <a:xfrm>
          <a:off x="0" y="0"/>
          <a:ext cx="6734175" cy="500062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28</xdr:row>
      <xdr:rowOff>9525</xdr:rowOff>
    </xdr:to>
    <xdr:pic>
      <xdr:nvPicPr>
        <xdr:cNvPr id="16" name="Picture 15" descr="welllback.pn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3162300" cy="4991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85726</xdr:rowOff>
    </xdr:from>
    <xdr:to>
      <xdr:col>3</xdr:col>
      <xdr:colOff>169426</xdr:colOff>
      <xdr:row>3</xdr:row>
      <xdr:rowOff>19050</xdr:rowOff>
    </xdr:to>
    <xdr:pic>
      <xdr:nvPicPr>
        <xdr:cNvPr id="2" name="Picture 1" descr="Untitled-1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85726"/>
          <a:ext cx="1036201" cy="742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66674</xdr:colOff>
      <xdr:row>0</xdr:row>
      <xdr:rowOff>38100</xdr:rowOff>
    </xdr:from>
    <xdr:to>
      <xdr:col>11</xdr:col>
      <xdr:colOff>76200</xdr:colOff>
      <xdr:row>27</xdr:row>
      <xdr:rowOff>123824</xdr:rowOff>
    </xdr:to>
    <xdr:sp macro="" textlink="">
      <xdr:nvSpPr>
        <xdr:cNvPr id="2" name="Rectangle 1"/>
        <xdr:cNvSpPr/>
      </xdr:nvSpPr>
      <xdr:spPr>
        <a:xfrm>
          <a:off x="6915149" y="38100"/>
          <a:ext cx="6619876" cy="487679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udit%20Report%20Final2020school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2016 "/>
      <sheetName val="2017"/>
      <sheetName val="2018"/>
      <sheetName val="2019"/>
      <sheetName val="2020"/>
      <sheetName val="Sheet1"/>
      <sheetName val="Sheet2"/>
      <sheetName val="Sheet3"/>
      <sheetName val="passbook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2">
          <cell r="CK22" t="str">
            <v>BNR</v>
          </cell>
        </row>
        <row r="23">
          <cell r="CK23" t="str">
            <v>Rvbhs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A1:CX56"/>
  <sheetViews>
    <sheetView topLeftCell="A25" workbookViewId="0">
      <selection activeCell="CS32" sqref="CS32"/>
    </sheetView>
  </sheetViews>
  <sheetFormatPr defaultRowHeight="15"/>
  <cols>
    <col min="1" max="1" width="9.140625" style="3"/>
    <col min="2" max="2" width="20.140625" style="3" bestFit="1" customWidth="1"/>
    <col min="3" max="3" width="13.140625" style="3" bestFit="1" customWidth="1"/>
    <col min="4" max="4" width="10.28515625" style="3" bestFit="1" customWidth="1"/>
    <col min="5" max="5" width="23.5703125" style="3" bestFit="1" customWidth="1"/>
    <col min="6" max="6" width="13.140625" style="3" bestFit="1" customWidth="1"/>
    <col min="7" max="7" width="10.140625" style="3" bestFit="1" customWidth="1"/>
    <col min="8" max="8" width="12.7109375" style="3" bestFit="1" customWidth="1"/>
    <col min="9" max="9" width="11" style="3" bestFit="1" customWidth="1"/>
    <col min="10" max="10" width="11.7109375" style="3" bestFit="1" customWidth="1"/>
    <col min="11" max="11" width="10.28515625" style="3" bestFit="1" customWidth="1"/>
    <col min="12" max="12" width="13.140625" style="3" bestFit="1" customWidth="1"/>
    <col min="13" max="13" width="11.85546875" style="3" bestFit="1" customWidth="1"/>
    <col min="14" max="14" width="14.7109375" style="3" bestFit="1" customWidth="1"/>
    <col min="15" max="15" width="11.7109375" style="3" bestFit="1" customWidth="1"/>
    <col min="16" max="16" width="11.7109375" style="3" customWidth="1"/>
    <col min="17" max="17" width="11.7109375" style="3" bestFit="1" customWidth="1"/>
    <col min="18" max="18" width="10.7109375" style="3" bestFit="1" customWidth="1"/>
    <col min="19" max="19" width="13.140625" style="3" bestFit="1" customWidth="1"/>
    <col min="20" max="20" width="9.140625" style="3"/>
    <col min="21" max="21" width="14.7109375" style="3" bestFit="1" customWidth="1"/>
    <col min="22" max="22" width="12.7109375" style="3" bestFit="1" customWidth="1"/>
    <col min="23" max="24" width="11.7109375" style="3" bestFit="1" customWidth="1"/>
    <col min="25" max="25" width="10.28515625" style="3" bestFit="1" customWidth="1"/>
    <col min="26" max="26" width="13.140625" style="3" bestFit="1" customWidth="1"/>
    <col min="27" max="27" width="9.140625" style="3"/>
    <col min="28" max="28" width="14.7109375" style="3" bestFit="1" customWidth="1"/>
    <col min="29" max="30" width="10.140625" style="3" bestFit="1" customWidth="1"/>
    <col min="31" max="31" width="11.7109375" style="3" bestFit="1" customWidth="1"/>
    <col min="32" max="32" width="10.28515625" style="3" bestFit="1" customWidth="1"/>
    <col min="33" max="33" width="13.140625" style="3" bestFit="1" customWidth="1"/>
    <col min="34" max="34" width="9.140625" style="3"/>
    <col min="35" max="35" width="14.7109375" style="3" bestFit="1" customWidth="1"/>
    <col min="36" max="36" width="14.28515625" style="3" bestFit="1" customWidth="1"/>
    <col min="37" max="37" width="9.140625" style="3"/>
    <col min="38" max="39" width="11.7109375" style="3" bestFit="1" customWidth="1"/>
    <col min="40" max="40" width="13.140625" style="3" bestFit="1" customWidth="1"/>
    <col min="41" max="41" width="9.140625" style="3"/>
    <col min="42" max="42" width="14.7109375" style="3" bestFit="1" customWidth="1"/>
    <col min="43" max="43" width="14.28515625" style="3" bestFit="1" customWidth="1"/>
    <col min="44" max="44" width="10.140625" style="3" bestFit="1" customWidth="1"/>
    <col min="45" max="46" width="9.140625" style="3"/>
    <col min="47" max="47" width="11.7109375" style="3" bestFit="1" customWidth="1"/>
    <col min="48" max="48" width="10.28515625" style="3" bestFit="1" customWidth="1"/>
    <col min="49" max="49" width="13.140625" style="3" bestFit="1" customWidth="1"/>
    <col min="50" max="50" width="9.140625" style="3"/>
    <col min="51" max="51" width="14.7109375" style="3" bestFit="1" customWidth="1"/>
    <col min="52" max="52" width="10.140625" style="3" bestFit="1" customWidth="1"/>
    <col min="53" max="53" width="9.140625" style="3"/>
    <col min="54" max="54" width="11.7109375" style="3" bestFit="1" customWidth="1"/>
    <col min="55" max="55" width="10.28515625" style="3" bestFit="1" customWidth="1"/>
    <col min="56" max="56" width="13.140625" style="3" bestFit="1" customWidth="1"/>
    <col min="57" max="57" width="9.140625" style="3"/>
    <col min="58" max="58" width="14.7109375" style="3" bestFit="1" customWidth="1"/>
    <col min="59" max="59" width="14.28515625" style="3" bestFit="1" customWidth="1"/>
    <col min="60" max="60" width="9.140625" style="3"/>
    <col min="61" max="61" width="11.7109375" style="3" bestFit="1" customWidth="1"/>
    <col min="62" max="62" width="10.28515625" style="3" bestFit="1" customWidth="1"/>
    <col min="63" max="63" width="13.140625" style="3" bestFit="1" customWidth="1"/>
    <col min="64" max="64" width="9.140625" style="3"/>
    <col min="65" max="65" width="14.7109375" style="3" bestFit="1" customWidth="1"/>
    <col min="66" max="66" width="12.7109375" style="3" bestFit="1" customWidth="1"/>
    <col min="67" max="67" width="9.140625" style="3"/>
    <col min="68" max="68" width="11.7109375" style="3" bestFit="1" customWidth="1"/>
    <col min="69" max="69" width="10.28515625" style="3" bestFit="1" customWidth="1"/>
    <col min="70" max="70" width="13.140625" style="3" bestFit="1" customWidth="1"/>
    <col min="71" max="71" width="9.140625" style="3"/>
    <col min="72" max="72" width="14.7109375" style="3" bestFit="1" customWidth="1"/>
    <col min="73" max="73" width="12.7109375" style="3" bestFit="1" customWidth="1"/>
    <col min="74" max="74" width="10.140625" style="3" bestFit="1" customWidth="1"/>
    <col min="75" max="75" width="11.7109375" style="3" bestFit="1" customWidth="1"/>
    <col min="76" max="76" width="10.28515625" style="3" bestFit="1" customWidth="1"/>
    <col min="77" max="77" width="13.140625" style="3" bestFit="1" customWidth="1"/>
    <col min="78" max="78" width="9.140625" style="3"/>
    <col min="79" max="79" width="14.7109375" style="3" bestFit="1" customWidth="1"/>
    <col min="80" max="80" width="12.7109375" style="3" bestFit="1" customWidth="1"/>
    <col min="81" max="81" width="9.140625" style="3" bestFit="1" customWidth="1"/>
    <col min="82" max="82" width="11.7109375" style="3" bestFit="1" customWidth="1"/>
    <col min="83" max="83" width="10.28515625" style="3" bestFit="1" customWidth="1"/>
    <col min="84" max="84" width="13.140625" style="3" bestFit="1" customWidth="1"/>
    <col min="85" max="85" width="9.140625" style="3"/>
    <col min="86" max="86" width="14.7109375" style="3" bestFit="1" customWidth="1"/>
    <col min="87" max="87" width="12.7109375" style="3" bestFit="1" customWidth="1"/>
    <col min="88" max="88" width="9.140625" style="3"/>
    <col min="89" max="89" width="20.140625" style="3" bestFit="1" customWidth="1"/>
    <col min="90" max="90" width="11.7109375" style="3" bestFit="1" customWidth="1"/>
    <col min="91" max="91" width="10.140625" style="3" bestFit="1" customWidth="1"/>
    <col min="92" max="93" width="9.140625" style="3"/>
    <col min="94" max="95" width="11.7109375" style="3" bestFit="1" customWidth="1"/>
    <col min="96" max="96" width="10.140625" style="3" bestFit="1" customWidth="1"/>
    <col min="97" max="97" width="11.7109375" style="40" bestFit="1" customWidth="1"/>
    <col min="98" max="98" width="10.140625" style="3" bestFit="1" customWidth="1"/>
    <col min="99" max="99" width="9.140625" style="3"/>
    <col min="100" max="100" width="10.140625" style="3" bestFit="1" customWidth="1"/>
    <col min="101" max="101" width="11.7109375" style="3" bestFit="1" customWidth="1"/>
    <col min="102" max="102" width="10.140625" style="3" bestFit="1" customWidth="1"/>
    <col min="103" max="16384" width="9.140625" style="3"/>
  </cols>
  <sheetData>
    <row r="1" spans="1:102">
      <c r="D1" s="4">
        <v>42461</v>
      </c>
      <c r="L1" s="4">
        <v>42491</v>
      </c>
      <c r="S1" s="4">
        <v>43252</v>
      </c>
      <c r="Z1" s="4">
        <v>43282</v>
      </c>
      <c r="AF1" s="4">
        <v>43313</v>
      </c>
      <c r="AM1" s="3" t="s">
        <v>0</v>
      </c>
      <c r="AX1" s="3" t="s">
        <v>1</v>
      </c>
      <c r="BE1" s="3" t="s">
        <v>2</v>
      </c>
      <c r="BK1" s="3" t="s">
        <v>3</v>
      </c>
      <c r="BS1" s="3" t="s">
        <v>4</v>
      </c>
      <c r="BX1" s="3" t="s">
        <v>5</v>
      </c>
      <c r="CE1" s="3" t="s">
        <v>97</v>
      </c>
    </row>
    <row r="2" spans="1:102" ht="15.75">
      <c r="B2" s="10" t="s">
        <v>6</v>
      </c>
      <c r="C2" s="23" t="s">
        <v>7</v>
      </c>
      <c r="D2" s="11" t="s">
        <v>8</v>
      </c>
      <c r="E2" s="11" t="s">
        <v>9</v>
      </c>
      <c r="F2" s="11" t="s">
        <v>10</v>
      </c>
      <c r="G2" s="22" t="s">
        <v>11</v>
      </c>
      <c r="H2" s="12" t="s">
        <v>12</v>
      </c>
      <c r="I2" s="13" t="s">
        <v>13</v>
      </c>
      <c r="J2" s="23" t="s">
        <v>7</v>
      </c>
      <c r="K2" s="11" t="s">
        <v>8</v>
      </c>
      <c r="L2" s="11" t="s">
        <v>9</v>
      </c>
      <c r="M2" s="11" t="s">
        <v>10</v>
      </c>
      <c r="N2" s="11" t="s">
        <v>14</v>
      </c>
      <c r="O2" s="12" t="s">
        <v>12</v>
      </c>
      <c r="P2" s="16" t="s">
        <v>7</v>
      </c>
      <c r="Q2" s="23" t="s">
        <v>7</v>
      </c>
      <c r="R2" s="11" t="s">
        <v>8</v>
      </c>
      <c r="S2" s="11" t="s">
        <v>9</v>
      </c>
      <c r="T2" s="11" t="s">
        <v>10</v>
      </c>
      <c r="U2" s="11" t="s">
        <v>14</v>
      </c>
      <c r="V2" s="12" t="s">
        <v>12</v>
      </c>
      <c r="W2" s="16" t="s">
        <v>7</v>
      </c>
      <c r="X2" s="23" t="s">
        <v>7</v>
      </c>
      <c r="Y2" s="11" t="s">
        <v>8</v>
      </c>
      <c r="Z2" s="11" t="s">
        <v>9</v>
      </c>
      <c r="AA2" s="11" t="s">
        <v>10</v>
      </c>
      <c r="AB2" s="11" t="s">
        <v>14</v>
      </c>
      <c r="AC2" s="12" t="s">
        <v>12</v>
      </c>
      <c r="AD2" s="16" t="s">
        <v>7</v>
      </c>
      <c r="AE2" s="23" t="s">
        <v>7</v>
      </c>
      <c r="AF2" s="11" t="s">
        <v>8</v>
      </c>
      <c r="AG2" s="11" t="s">
        <v>9</v>
      </c>
      <c r="AH2" s="11" t="s">
        <v>10</v>
      </c>
      <c r="AI2" s="11" t="s">
        <v>14</v>
      </c>
      <c r="AJ2" s="12" t="s">
        <v>12</v>
      </c>
      <c r="AK2" s="16" t="s">
        <v>7</v>
      </c>
      <c r="AL2" s="23" t="s">
        <v>7</v>
      </c>
      <c r="AM2" s="11" t="s">
        <v>8</v>
      </c>
      <c r="AN2" s="11" t="s">
        <v>9</v>
      </c>
      <c r="AO2" s="11" t="s">
        <v>10</v>
      </c>
      <c r="AP2" s="11" t="s">
        <v>14</v>
      </c>
      <c r="AQ2" s="12" t="s">
        <v>12</v>
      </c>
      <c r="AR2" s="26" t="s">
        <v>15</v>
      </c>
      <c r="AS2" s="16" t="s">
        <v>7</v>
      </c>
      <c r="AU2" s="23" t="s">
        <v>7</v>
      </c>
      <c r="AV2" s="11" t="s">
        <v>8</v>
      </c>
      <c r="AW2" s="11" t="s">
        <v>9</v>
      </c>
      <c r="AX2" s="11" t="s">
        <v>10</v>
      </c>
      <c r="AY2" s="11" t="s">
        <v>14</v>
      </c>
      <c r="AZ2" s="12" t="s">
        <v>12</v>
      </c>
      <c r="BA2" s="16" t="s">
        <v>7</v>
      </c>
      <c r="BB2" s="23" t="s">
        <v>7</v>
      </c>
      <c r="BC2" s="11" t="s">
        <v>8</v>
      </c>
      <c r="BD2" s="11" t="s">
        <v>9</v>
      </c>
      <c r="BE2" s="11" t="s">
        <v>10</v>
      </c>
      <c r="BF2" s="11" t="s">
        <v>14</v>
      </c>
      <c r="BG2" s="12" t="s">
        <v>12</v>
      </c>
      <c r="BH2" s="16" t="s">
        <v>7</v>
      </c>
      <c r="BI2" s="23" t="s">
        <v>7</v>
      </c>
      <c r="BJ2" s="11" t="s">
        <v>8</v>
      </c>
      <c r="BK2" s="11" t="s">
        <v>9</v>
      </c>
      <c r="BL2" s="11" t="s">
        <v>10</v>
      </c>
      <c r="BM2" s="11" t="s">
        <v>14</v>
      </c>
      <c r="BN2" s="12" t="s">
        <v>12</v>
      </c>
      <c r="BO2" s="16" t="s">
        <v>7</v>
      </c>
      <c r="BP2" s="23" t="s">
        <v>7</v>
      </c>
      <c r="BQ2" s="11" t="s">
        <v>8</v>
      </c>
      <c r="BR2" s="11" t="s">
        <v>9</v>
      </c>
      <c r="BS2" s="11" t="s">
        <v>10</v>
      </c>
      <c r="BT2" s="11" t="s">
        <v>14</v>
      </c>
      <c r="BU2" s="12" t="s">
        <v>12</v>
      </c>
      <c r="BV2" s="16" t="s">
        <v>7</v>
      </c>
      <c r="BW2" s="23" t="s">
        <v>7</v>
      </c>
      <c r="BX2" s="11" t="s">
        <v>8</v>
      </c>
      <c r="BY2" s="11" t="s">
        <v>9</v>
      </c>
      <c r="BZ2" s="11" t="s">
        <v>10</v>
      </c>
      <c r="CA2" s="11" t="s">
        <v>14</v>
      </c>
      <c r="CB2" s="12" t="s">
        <v>12</v>
      </c>
      <c r="CC2" s="16" t="s">
        <v>7</v>
      </c>
      <c r="CD2" s="23" t="s">
        <v>7</v>
      </c>
      <c r="CE2" s="11" t="s">
        <v>8</v>
      </c>
      <c r="CF2" s="11" t="s">
        <v>9</v>
      </c>
      <c r="CG2" s="11" t="s">
        <v>10</v>
      </c>
      <c r="CH2" s="11" t="s">
        <v>14</v>
      </c>
      <c r="CI2" s="12" t="s">
        <v>12</v>
      </c>
      <c r="CJ2" s="16" t="s">
        <v>7</v>
      </c>
      <c r="CL2" s="3" t="s">
        <v>16</v>
      </c>
      <c r="CN2" s="3" t="s">
        <v>17</v>
      </c>
      <c r="CP2" s="3" t="s">
        <v>43</v>
      </c>
      <c r="CQ2" s="3" t="s">
        <v>43</v>
      </c>
      <c r="CR2" s="3" t="s">
        <v>77</v>
      </c>
      <c r="CS2" s="40" t="s">
        <v>87</v>
      </c>
      <c r="CT2" s="3" t="s">
        <v>18</v>
      </c>
      <c r="CU2" s="3" t="s">
        <v>77</v>
      </c>
      <c r="CV2" s="3" t="s">
        <v>13</v>
      </c>
      <c r="CW2" s="3" t="s">
        <v>70</v>
      </c>
    </row>
    <row r="3" spans="1:102">
      <c r="A3" s="3">
        <v>1</v>
      </c>
      <c r="B3" s="5" t="s">
        <v>19</v>
      </c>
      <c r="C3" s="10">
        <v>28704</v>
      </c>
      <c r="D3" s="6">
        <f>H3-(E3+F3+G3)</f>
        <v>1356</v>
      </c>
      <c r="E3" s="6">
        <f>MROUND(((C3*0.5)/100),1)</f>
        <v>144</v>
      </c>
      <c r="F3" s="6">
        <v>500</v>
      </c>
      <c r="G3" s="6">
        <v>1000</v>
      </c>
      <c r="H3" s="6">
        <v>3000</v>
      </c>
      <c r="I3" s="21"/>
      <c r="J3" s="21">
        <f>C3-D3+I3</f>
        <v>27348</v>
      </c>
      <c r="K3" s="6">
        <f>O3-(L3+M3+N3)</f>
        <v>1363</v>
      </c>
      <c r="L3" s="6">
        <f>MROUND(((J3*0.5)/100),1)</f>
        <v>137</v>
      </c>
      <c r="M3" s="6">
        <v>500</v>
      </c>
      <c r="N3" s="6">
        <v>1000</v>
      </c>
      <c r="O3" s="6">
        <v>3000</v>
      </c>
      <c r="P3" s="6"/>
      <c r="Q3" s="21">
        <f>J3-K3+P3</f>
        <v>25985</v>
      </c>
      <c r="R3" s="6">
        <f>V3-(S3+T3+U3)</f>
        <v>1370</v>
      </c>
      <c r="S3" s="6">
        <f>MROUND(((Q3*0.5)/100),1)</f>
        <v>130</v>
      </c>
      <c r="T3" s="6">
        <v>500</v>
      </c>
      <c r="U3" s="6">
        <v>1000</v>
      </c>
      <c r="V3" s="6">
        <v>3000</v>
      </c>
      <c r="W3" s="6"/>
      <c r="X3" s="21">
        <f>Q3-R3+W3</f>
        <v>24615</v>
      </c>
      <c r="Y3" s="6">
        <f>AC3-(Z3+AA3+AB3)</f>
        <v>1377</v>
      </c>
      <c r="Z3" s="6">
        <f>MROUND(((X3*0.5)/100),1)</f>
        <v>123</v>
      </c>
      <c r="AA3" s="6">
        <v>500</v>
      </c>
      <c r="AB3" s="6">
        <v>1000</v>
      </c>
      <c r="AC3" s="6">
        <v>3000</v>
      </c>
      <c r="AD3" s="6"/>
      <c r="AE3" s="21">
        <f>X3-Y3+AD3</f>
        <v>23238</v>
      </c>
      <c r="AF3" s="6">
        <f>AJ3-(AG3+AH3+AI3)</f>
        <v>1384</v>
      </c>
      <c r="AG3" s="6">
        <f>MROUND(((AE3*0.5)/100),1)</f>
        <v>116</v>
      </c>
      <c r="AH3" s="6">
        <v>500</v>
      </c>
      <c r="AI3" s="6">
        <v>1000</v>
      </c>
      <c r="AJ3" s="6">
        <v>3000</v>
      </c>
      <c r="AK3" s="6"/>
      <c r="AL3" s="21">
        <f>AE3-AF3+AK3</f>
        <v>21854</v>
      </c>
      <c r="AM3" s="6">
        <f>AQ3-(AN3+AO3+AP3)</f>
        <v>2391</v>
      </c>
      <c r="AN3" s="6">
        <f>MROUND(((AL3*0.5)/100),1)</f>
        <v>109</v>
      </c>
      <c r="AO3" s="6">
        <v>500</v>
      </c>
      <c r="AP3" s="6"/>
      <c r="AQ3" s="6">
        <v>3000</v>
      </c>
      <c r="AR3" s="6"/>
      <c r="AS3" s="6">
        <v>5000</v>
      </c>
      <c r="AU3" s="21">
        <f>AL3-AM3+AS3</f>
        <v>24463</v>
      </c>
      <c r="AV3" s="6">
        <f>AZ3-(AW3+AX3+AY3)</f>
        <v>0</v>
      </c>
      <c r="AW3" s="6">
        <f>MROUND(((AU3*0.5)/100),1)</f>
        <v>122</v>
      </c>
      <c r="AX3" s="6">
        <v>500</v>
      </c>
      <c r="AY3" s="6"/>
      <c r="AZ3" s="6">
        <v>622</v>
      </c>
      <c r="BA3" s="6">
        <v>622</v>
      </c>
      <c r="BB3" s="21">
        <f>AU3-AV3+BA3</f>
        <v>25085</v>
      </c>
      <c r="BC3" s="6">
        <f>BG3-(BD3+BE3+BF3)</f>
        <v>1375</v>
      </c>
      <c r="BD3" s="6">
        <f>MROUND(((BB3*0.5)/100),1)</f>
        <v>125</v>
      </c>
      <c r="BE3" s="6">
        <v>500</v>
      </c>
      <c r="BF3" s="6">
        <v>2000</v>
      </c>
      <c r="BG3" s="6">
        <v>4000</v>
      </c>
      <c r="BH3" s="6"/>
      <c r="BI3" s="21">
        <f>BB3-BC3+BH3</f>
        <v>23710</v>
      </c>
      <c r="BJ3" s="6">
        <f>BN3-(BK3+BL3+BM3)</f>
        <v>1381</v>
      </c>
      <c r="BK3" s="6">
        <f>MROUND(((BI3*0.5)/100),1)</f>
        <v>119</v>
      </c>
      <c r="BL3" s="6">
        <v>500</v>
      </c>
      <c r="BM3" s="6">
        <v>2000</v>
      </c>
      <c r="BN3" s="6">
        <v>4000</v>
      </c>
      <c r="BO3" s="6"/>
      <c r="BP3" s="21">
        <f>BI3-BJ3+BO3</f>
        <v>22329</v>
      </c>
      <c r="BQ3" s="6">
        <f>BU3-(BR3+BS3+BT3)</f>
        <v>0</v>
      </c>
      <c r="BR3" s="6">
        <f>MROUND(((BP3*0.5)/100),1)</f>
        <v>112</v>
      </c>
      <c r="BS3" s="6">
        <v>500</v>
      </c>
      <c r="BT3" s="6">
        <v>2000</v>
      </c>
      <c r="BU3" s="21">
        <v>2612</v>
      </c>
      <c r="BV3" s="21">
        <v>257611</v>
      </c>
      <c r="BW3" s="21">
        <f>BP3-BQ3+BV3</f>
        <v>279940</v>
      </c>
      <c r="BX3" s="6">
        <f>CB3-(BY3+BZ3+CA3)</f>
        <v>0</v>
      </c>
      <c r="BY3" s="6">
        <f>MROUND(((BW3*0.5)/100),1)</f>
        <v>1400</v>
      </c>
      <c r="BZ3" s="6">
        <v>500</v>
      </c>
      <c r="CA3" s="6">
        <v>2000</v>
      </c>
      <c r="CB3" s="6">
        <v>3900</v>
      </c>
      <c r="CC3" s="6">
        <v>10700</v>
      </c>
      <c r="CD3" s="21">
        <f>BW3-BX3+CC3</f>
        <v>290640</v>
      </c>
      <c r="CE3" s="6">
        <f>CI3-(CF3+CG3+CH3)</f>
        <v>8047</v>
      </c>
      <c r="CF3" s="6">
        <f>MROUND(((CD3*0.5)/100),1)</f>
        <v>1453</v>
      </c>
      <c r="CG3" s="6">
        <v>500</v>
      </c>
      <c r="CH3" s="6">
        <v>2000</v>
      </c>
      <c r="CI3" s="6">
        <v>12000</v>
      </c>
      <c r="CJ3" s="6"/>
      <c r="CK3" s="5" t="s">
        <v>19</v>
      </c>
      <c r="CL3" s="14">
        <f>CD3-CE3+CJ3</f>
        <v>282593</v>
      </c>
      <c r="CM3" s="14">
        <v>75475</v>
      </c>
      <c r="CN3" s="14">
        <v>0</v>
      </c>
      <c r="CO3" s="14">
        <v>10000</v>
      </c>
      <c r="CP3" s="3">
        <v>84877</v>
      </c>
      <c r="CQ3" s="14">
        <f>CP3+F3+M3+T3+AA3+AH3+AO3+AX3+BE3+BL3+BS3+BZ3+CG3</f>
        <v>90877</v>
      </c>
      <c r="CR3" s="3">
        <f>MROUND((CQ3*$M$42)/$M$35,1)</f>
        <v>3816</v>
      </c>
      <c r="CS3" s="41">
        <f>CQ3+CR3</f>
        <v>94693</v>
      </c>
      <c r="CT3" s="14">
        <v>78017</v>
      </c>
      <c r="CU3" s="14">
        <v>2327</v>
      </c>
      <c r="CV3" s="14">
        <v>0</v>
      </c>
      <c r="CW3" s="14">
        <v>0</v>
      </c>
      <c r="CX3" s="14">
        <v>45000</v>
      </c>
    </row>
    <row r="4" spans="1:102">
      <c r="A4" s="3">
        <v>2</v>
      </c>
      <c r="B4" s="5" t="s">
        <v>21</v>
      </c>
      <c r="C4" s="10">
        <v>44582</v>
      </c>
      <c r="D4" s="6">
        <f t="shared" ref="D4:D25" si="0">H4-(E4+F4+G4)</f>
        <v>1277</v>
      </c>
      <c r="E4" s="6">
        <f t="shared" ref="E4:E21" si="1">MROUND(((C4*0.5)/100),1)</f>
        <v>223</v>
      </c>
      <c r="F4" s="6">
        <v>500</v>
      </c>
      <c r="G4" s="6">
        <v>1000</v>
      </c>
      <c r="H4" s="6">
        <v>3000</v>
      </c>
      <c r="I4" s="21">
        <v>2000</v>
      </c>
      <c r="J4" s="21">
        <f t="shared" ref="J4:J25" si="2">C4-D4+I4</f>
        <v>45305</v>
      </c>
      <c r="K4" s="6">
        <f t="shared" ref="K4:K25" si="3">O4-(L4+M4+N4)</f>
        <v>1273</v>
      </c>
      <c r="L4" s="6">
        <f>MROUND(((J4*0.5)/100),1)</f>
        <v>227</v>
      </c>
      <c r="M4" s="6">
        <v>500</v>
      </c>
      <c r="N4" s="6">
        <v>1000</v>
      </c>
      <c r="O4" s="6">
        <v>3000</v>
      </c>
      <c r="P4" s="6">
        <v>3000</v>
      </c>
      <c r="Q4" s="21">
        <f t="shared" ref="Q4:Q25" si="4">J4-K4+P4</f>
        <v>47032</v>
      </c>
      <c r="R4" s="6">
        <f t="shared" ref="R4:R25" si="5">V4-(S4+T4+U4)</f>
        <v>1765</v>
      </c>
      <c r="S4" s="6">
        <f t="shared" ref="S4:S24" si="6">MROUND(((Q4*0.5)/100),1)</f>
        <v>235</v>
      </c>
      <c r="T4" s="6">
        <v>500</v>
      </c>
      <c r="U4" s="6">
        <v>1000</v>
      </c>
      <c r="V4" s="6">
        <v>3500</v>
      </c>
      <c r="W4" s="6">
        <v>12000</v>
      </c>
      <c r="X4" s="21">
        <f t="shared" ref="X4:X25" si="7">Q4-R4+W4</f>
        <v>57267</v>
      </c>
      <c r="Y4" s="6">
        <f t="shared" ref="Y4:Y25" si="8">AC4-(Z4+AA4+AB4)</f>
        <v>2214</v>
      </c>
      <c r="Z4" s="6">
        <f t="shared" ref="Z4:Z24" si="9">MROUND(((X4*0.5)/100),1)</f>
        <v>286</v>
      </c>
      <c r="AA4" s="6">
        <v>500</v>
      </c>
      <c r="AB4" s="6">
        <v>1000</v>
      </c>
      <c r="AC4" s="6">
        <v>4000</v>
      </c>
      <c r="AD4" s="6">
        <v>10000</v>
      </c>
      <c r="AE4" s="21">
        <f t="shared" ref="AE4:AE25" si="10">X4-Y4+AD4</f>
        <v>65053</v>
      </c>
      <c r="AF4" s="6">
        <f t="shared" ref="AF4:AF25" si="11">AJ4-(AG4+AH4+AI4)</f>
        <v>17175</v>
      </c>
      <c r="AG4" s="6">
        <f t="shared" ref="AG4:AG24" si="12">MROUND(((AE4*0.5)/100),1)</f>
        <v>325</v>
      </c>
      <c r="AH4" s="6">
        <v>500</v>
      </c>
      <c r="AI4" s="6">
        <v>1000</v>
      </c>
      <c r="AJ4" s="6">
        <v>19000</v>
      </c>
      <c r="AK4" s="6"/>
      <c r="AL4" s="21">
        <f t="shared" ref="AL4:AL25" si="13">AE4-AF4+AK4</f>
        <v>47878</v>
      </c>
      <c r="AM4" s="6">
        <f t="shared" ref="AM4:AM24" si="14">AQ4-(AN4+AO4+AP4)</f>
        <v>19261</v>
      </c>
      <c r="AN4" s="6">
        <f t="shared" ref="AN4:AN24" si="15">MROUND(((AL4*0.5)/100),1)</f>
        <v>239</v>
      </c>
      <c r="AO4" s="6">
        <v>500</v>
      </c>
      <c r="AP4" s="6"/>
      <c r="AQ4" s="6">
        <v>20000</v>
      </c>
      <c r="AR4" s="6"/>
      <c r="AS4" s="6">
        <v>2000</v>
      </c>
      <c r="AU4" s="21">
        <f t="shared" ref="AU4:AU25" si="16">AL4-AM4+AS4</f>
        <v>30617</v>
      </c>
      <c r="AV4" s="6">
        <f t="shared" ref="AV4:AV24" si="17">AZ4-(AW4+AX4+AY4)</f>
        <v>2347</v>
      </c>
      <c r="AW4" s="6">
        <f t="shared" ref="AW4:AW23" si="18">MROUND(((AU4*0.5)/100),1)</f>
        <v>153</v>
      </c>
      <c r="AX4" s="6">
        <v>500</v>
      </c>
      <c r="AY4" s="6"/>
      <c r="AZ4" s="6">
        <v>3000</v>
      </c>
      <c r="BA4" s="6"/>
      <c r="BB4" s="21">
        <f t="shared" ref="BB4:BB25" si="19">AU4-AV4+BA4</f>
        <v>28270</v>
      </c>
      <c r="BC4" s="6">
        <f t="shared" ref="BC4:BC25" si="20">BG4-(BD4+BE4+BF4)</f>
        <v>1359</v>
      </c>
      <c r="BD4" s="6">
        <f t="shared" ref="BD4:BD23" si="21">MROUND(((BB4*0.5)/100),1)</f>
        <v>141</v>
      </c>
      <c r="BE4" s="6">
        <v>500</v>
      </c>
      <c r="BF4" s="6">
        <v>2000</v>
      </c>
      <c r="BG4" s="6">
        <v>4000</v>
      </c>
      <c r="BH4" s="6"/>
      <c r="BI4" s="21">
        <f t="shared" ref="BI4:BI24" si="22">BB4-BC4+BH4</f>
        <v>26911</v>
      </c>
      <c r="BJ4" s="6">
        <f t="shared" ref="BJ4:BJ25" si="23">BN4-(BK4+BL4+BM4)</f>
        <v>1365</v>
      </c>
      <c r="BK4" s="6">
        <f t="shared" ref="BK4:BK23" si="24">MROUND(((BI4*0.5)/100),1)</f>
        <v>135</v>
      </c>
      <c r="BL4" s="6">
        <v>500</v>
      </c>
      <c r="BM4" s="6">
        <v>2000</v>
      </c>
      <c r="BN4" s="6">
        <v>4000</v>
      </c>
      <c r="BO4" s="6">
        <v>0</v>
      </c>
      <c r="BP4" s="21">
        <f t="shared" ref="BP4:BP25" si="25">BI4-BJ4+BO4</f>
        <v>25546</v>
      </c>
      <c r="BQ4" s="6">
        <f t="shared" ref="BQ4:BQ25" si="26">BU4-(BR4+BS4+BT4)</f>
        <v>1372</v>
      </c>
      <c r="BR4" s="6">
        <f t="shared" ref="BR4:BR23" si="27">MROUND(((BP4*0.5)/100),1)</f>
        <v>128</v>
      </c>
      <c r="BS4" s="6">
        <v>500</v>
      </c>
      <c r="BT4" s="6">
        <v>2000</v>
      </c>
      <c r="BU4" s="6">
        <v>4000</v>
      </c>
      <c r="BV4" s="6"/>
      <c r="BW4" s="21">
        <f t="shared" ref="BW4:BW25" si="28">BP4-BQ4+BV4</f>
        <v>24174</v>
      </c>
      <c r="BX4" s="6">
        <f t="shared" ref="BX4:BX25" si="29">CB4-(BY4+BZ4+CA4)</f>
        <v>1379</v>
      </c>
      <c r="BY4" s="6">
        <f t="shared" ref="BY4:BY23" si="30">MROUND(((BW4*0.5)/100),1)</f>
        <v>121</v>
      </c>
      <c r="BZ4" s="6">
        <v>500</v>
      </c>
      <c r="CA4" s="6">
        <v>2000</v>
      </c>
      <c r="CB4" s="6">
        <v>4000</v>
      </c>
      <c r="CC4" s="6"/>
      <c r="CD4" s="21">
        <f t="shared" ref="CD4:CD25" si="31">BW4-BX4+CC4</f>
        <v>22795</v>
      </c>
      <c r="CE4" s="6">
        <f t="shared" ref="CE4:CE25" si="32">CI4-(CF4+CG4+CH4)</f>
        <v>1386</v>
      </c>
      <c r="CF4" s="6">
        <f t="shared" ref="CF4:CF24" si="33">MROUND(((CD4*0.5)/100),1)</f>
        <v>114</v>
      </c>
      <c r="CG4" s="6">
        <v>500</v>
      </c>
      <c r="CH4" s="6">
        <v>2000</v>
      </c>
      <c r="CI4" s="6">
        <v>4000</v>
      </c>
      <c r="CJ4" s="6">
        <v>15000</v>
      </c>
      <c r="CK4" s="5" t="s">
        <v>21</v>
      </c>
      <c r="CL4" s="14">
        <f t="shared" ref="CL4:CL25" si="34">CD4-CE4+CJ4</f>
        <v>36409</v>
      </c>
      <c r="CM4" s="14">
        <v>0</v>
      </c>
      <c r="CN4" s="14">
        <v>0</v>
      </c>
      <c r="CO4" s="14">
        <v>15000</v>
      </c>
      <c r="CP4" s="3">
        <v>83467</v>
      </c>
      <c r="CQ4" s="14">
        <f>CP4+F4+M4+T4+AA4+AH4+AO4+AX4+BE4+BL4+BS4+BZ4+CG4</f>
        <v>89467</v>
      </c>
      <c r="CR4" s="3">
        <f t="shared" ref="CR4:CR25" si="35">MROUND((CQ4*$M$42)/$M$35,1)</f>
        <v>3757</v>
      </c>
      <c r="CS4" s="41">
        <f t="shared" ref="CS4:CS26" si="36">CQ4+CR4</f>
        <v>93224</v>
      </c>
      <c r="CT4" s="14">
        <v>0</v>
      </c>
      <c r="CU4" s="14">
        <v>0</v>
      </c>
      <c r="CV4" s="14">
        <v>0</v>
      </c>
      <c r="CW4" s="14">
        <v>0</v>
      </c>
      <c r="CX4" s="14">
        <v>2000</v>
      </c>
    </row>
    <row r="5" spans="1:102">
      <c r="A5" s="3">
        <v>3</v>
      </c>
      <c r="B5" s="5" t="s">
        <v>22</v>
      </c>
      <c r="C5" s="10">
        <v>73513</v>
      </c>
      <c r="D5" s="6">
        <f t="shared" si="0"/>
        <v>3632</v>
      </c>
      <c r="E5" s="6">
        <f t="shared" si="1"/>
        <v>368</v>
      </c>
      <c r="F5" s="6">
        <v>1000</v>
      </c>
      <c r="G5" s="6">
        <v>1000</v>
      </c>
      <c r="H5" s="6">
        <v>6000</v>
      </c>
      <c r="I5" s="21"/>
      <c r="J5" s="21">
        <f t="shared" si="2"/>
        <v>69881</v>
      </c>
      <c r="K5" s="6">
        <f t="shared" si="3"/>
        <v>4651</v>
      </c>
      <c r="L5" s="6">
        <f t="shared" ref="L5:L23" si="37">MROUND(((J5*0.5)/100),1)</f>
        <v>349</v>
      </c>
      <c r="M5" s="6">
        <v>1000</v>
      </c>
      <c r="N5" s="6">
        <v>1000</v>
      </c>
      <c r="O5" s="6">
        <v>7000</v>
      </c>
      <c r="P5" s="6"/>
      <c r="Q5" s="21">
        <f t="shared" si="4"/>
        <v>65230</v>
      </c>
      <c r="R5" s="6">
        <f t="shared" si="5"/>
        <v>4674</v>
      </c>
      <c r="S5" s="6">
        <f t="shared" si="6"/>
        <v>326</v>
      </c>
      <c r="T5" s="6">
        <v>1000</v>
      </c>
      <c r="U5" s="6">
        <v>1000</v>
      </c>
      <c r="V5" s="6">
        <v>7000</v>
      </c>
      <c r="W5" s="6"/>
      <c r="X5" s="21">
        <f t="shared" si="7"/>
        <v>60556</v>
      </c>
      <c r="Y5" s="6">
        <f t="shared" si="8"/>
        <v>4697</v>
      </c>
      <c r="Z5" s="6">
        <f t="shared" si="9"/>
        <v>303</v>
      </c>
      <c r="AA5" s="6">
        <v>1000</v>
      </c>
      <c r="AB5" s="6">
        <v>1000</v>
      </c>
      <c r="AC5" s="6">
        <v>7000</v>
      </c>
      <c r="AD5" s="6"/>
      <c r="AE5" s="21">
        <f t="shared" si="10"/>
        <v>55859</v>
      </c>
      <c r="AF5" s="6">
        <f t="shared" si="11"/>
        <v>4721</v>
      </c>
      <c r="AG5" s="6">
        <f t="shared" si="12"/>
        <v>279</v>
      </c>
      <c r="AH5" s="6">
        <v>1000</v>
      </c>
      <c r="AI5" s="6">
        <v>1000</v>
      </c>
      <c r="AJ5" s="6">
        <v>7000</v>
      </c>
      <c r="AK5" s="6"/>
      <c r="AL5" s="21">
        <f t="shared" si="13"/>
        <v>51138</v>
      </c>
      <c r="AM5" s="6">
        <f t="shared" si="14"/>
        <v>5744</v>
      </c>
      <c r="AN5" s="6">
        <f t="shared" si="15"/>
        <v>256</v>
      </c>
      <c r="AO5" s="6">
        <v>1000</v>
      </c>
      <c r="AP5" s="6"/>
      <c r="AQ5" s="6">
        <v>7000</v>
      </c>
      <c r="AR5" s="6"/>
      <c r="AS5" s="6"/>
      <c r="AU5" s="21">
        <f t="shared" si="16"/>
        <v>45394</v>
      </c>
      <c r="AV5" s="6">
        <f t="shared" si="17"/>
        <v>4773</v>
      </c>
      <c r="AW5" s="6">
        <f t="shared" si="18"/>
        <v>227</v>
      </c>
      <c r="AX5" s="6">
        <v>1000</v>
      </c>
      <c r="AY5" s="6"/>
      <c r="AZ5" s="6">
        <v>6000</v>
      </c>
      <c r="BA5" s="6">
        <v>10000</v>
      </c>
      <c r="BB5" s="21">
        <f t="shared" si="19"/>
        <v>50621</v>
      </c>
      <c r="BC5" s="6">
        <f t="shared" si="20"/>
        <v>3747</v>
      </c>
      <c r="BD5" s="6">
        <f t="shared" si="21"/>
        <v>253</v>
      </c>
      <c r="BE5" s="6">
        <v>1000</v>
      </c>
      <c r="BF5" s="6">
        <v>2000</v>
      </c>
      <c r="BG5" s="6">
        <v>7000</v>
      </c>
      <c r="BH5" s="6"/>
      <c r="BI5" s="21">
        <f t="shared" si="22"/>
        <v>46874</v>
      </c>
      <c r="BJ5" s="6">
        <f t="shared" si="23"/>
        <v>3766</v>
      </c>
      <c r="BK5" s="6">
        <f t="shared" si="24"/>
        <v>234</v>
      </c>
      <c r="BL5" s="6">
        <v>1000</v>
      </c>
      <c r="BM5" s="6">
        <v>2000</v>
      </c>
      <c r="BN5" s="6">
        <v>7000</v>
      </c>
      <c r="BO5" s="6"/>
      <c r="BP5" s="21">
        <f t="shared" si="25"/>
        <v>43108</v>
      </c>
      <c r="BQ5" s="6">
        <f t="shared" si="26"/>
        <v>3784</v>
      </c>
      <c r="BR5" s="6">
        <f t="shared" si="27"/>
        <v>216</v>
      </c>
      <c r="BS5" s="6">
        <v>1000</v>
      </c>
      <c r="BT5" s="6">
        <v>2000</v>
      </c>
      <c r="BU5" s="6">
        <v>7000</v>
      </c>
      <c r="BV5" s="6"/>
      <c r="BW5" s="21">
        <f t="shared" si="28"/>
        <v>39324</v>
      </c>
      <c r="BX5" s="6">
        <f t="shared" si="29"/>
        <v>3803</v>
      </c>
      <c r="BY5" s="6">
        <f t="shared" si="30"/>
        <v>197</v>
      </c>
      <c r="BZ5" s="6">
        <v>1000</v>
      </c>
      <c r="CA5" s="6">
        <v>2000</v>
      </c>
      <c r="CB5" s="6">
        <v>7000</v>
      </c>
      <c r="CC5" s="6"/>
      <c r="CD5" s="21">
        <f t="shared" si="31"/>
        <v>35521</v>
      </c>
      <c r="CE5" s="6">
        <f t="shared" si="32"/>
        <v>2822</v>
      </c>
      <c r="CF5" s="6">
        <f t="shared" si="33"/>
        <v>178</v>
      </c>
      <c r="CG5" s="6">
        <v>1000</v>
      </c>
      <c r="CH5" s="6">
        <v>2000</v>
      </c>
      <c r="CI5" s="6">
        <v>6000</v>
      </c>
      <c r="CJ5" s="6"/>
      <c r="CK5" s="5" t="s">
        <v>22</v>
      </c>
      <c r="CL5" s="14">
        <f t="shared" si="34"/>
        <v>32699</v>
      </c>
      <c r="CM5" s="14">
        <v>0</v>
      </c>
      <c r="CN5" s="14">
        <v>5000</v>
      </c>
      <c r="CO5" s="14">
        <v>5000</v>
      </c>
      <c r="CP5" s="3">
        <v>86587</v>
      </c>
      <c r="CQ5" s="14">
        <f>CP5+F5+M5+T5+AA5+AH5+AO5+AX5+BE5+BL5+BS5+BZ5+CG5</f>
        <v>98587</v>
      </c>
      <c r="CR5" s="3">
        <f t="shared" si="35"/>
        <v>4140</v>
      </c>
      <c r="CS5" s="41">
        <f t="shared" si="36"/>
        <v>102727</v>
      </c>
      <c r="CT5" s="14">
        <v>0</v>
      </c>
      <c r="CU5" s="14">
        <v>0</v>
      </c>
      <c r="CV5" s="14">
        <v>0</v>
      </c>
      <c r="CW5" s="14">
        <v>0</v>
      </c>
      <c r="CX5" s="14">
        <v>18000</v>
      </c>
    </row>
    <row r="6" spans="1:102">
      <c r="A6" s="3">
        <v>4</v>
      </c>
      <c r="B6" s="5" t="s">
        <v>23</v>
      </c>
      <c r="C6" s="10">
        <v>149103</v>
      </c>
      <c r="D6" s="6">
        <f t="shared" si="0"/>
        <v>4254</v>
      </c>
      <c r="E6" s="6">
        <f t="shared" si="1"/>
        <v>746</v>
      </c>
      <c r="F6" s="6">
        <v>500</v>
      </c>
      <c r="G6" s="6">
        <v>1000</v>
      </c>
      <c r="H6" s="6">
        <v>6500</v>
      </c>
      <c r="I6" s="21"/>
      <c r="J6" s="21">
        <f t="shared" si="2"/>
        <v>144849</v>
      </c>
      <c r="K6" s="6">
        <f t="shared" si="3"/>
        <v>37776</v>
      </c>
      <c r="L6" s="6">
        <f t="shared" si="37"/>
        <v>724</v>
      </c>
      <c r="M6" s="6">
        <v>500</v>
      </c>
      <c r="N6" s="6">
        <v>1000</v>
      </c>
      <c r="O6" s="6">
        <v>40000</v>
      </c>
      <c r="P6" s="6"/>
      <c r="Q6" s="21">
        <f t="shared" si="4"/>
        <v>107073</v>
      </c>
      <c r="R6" s="6">
        <f t="shared" si="5"/>
        <v>2465</v>
      </c>
      <c r="S6" s="6">
        <f t="shared" si="6"/>
        <v>535</v>
      </c>
      <c r="T6" s="6">
        <v>500</v>
      </c>
      <c r="U6" s="6">
        <v>1000</v>
      </c>
      <c r="V6" s="6">
        <v>4500</v>
      </c>
      <c r="W6" s="6"/>
      <c r="X6" s="21">
        <f t="shared" si="7"/>
        <v>104608</v>
      </c>
      <c r="Y6" s="6">
        <f t="shared" si="8"/>
        <v>12977</v>
      </c>
      <c r="Z6" s="6">
        <f t="shared" si="9"/>
        <v>523</v>
      </c>
      <c r="AA6" s="6">
        <v>500</v>
      </c>
      <c r="AB6" s="6">
        <v>1000</v>
      </c>
      <c r="AC6" s="6">
        <v>15000</v>
      </c>
      <c r="AD6" s="6"/>
      <c r="AE6" s="21">
        <f t="shared" si="10"/>
        <v>91631</v>
      </c>
      <c r="AF6" s="6">
        <f t="shared" si="11"/>
        <v>15042</v>
      </c>
      <c r="AG6" s="6">
        <f t="shared" si="12"/>
        <v>458</v>
      </c>
      <c r="AH6" s="6">
        <v>500</v>
      </c>
      <c r="AI6" s="6">
        <v>1000</v>
      </c>
      <c r="AJ6" s="6">
        <v>17000</v>
      </c>
      <c r="AK6" s="6"/>
      <c r="AL6" s="21">
        <f t="shared" si="13"/>
        <v>76589</v>
      </c>
      <c r="AM6" s="6">
        <f t="shared" si="14"/>
        <v>37117</v>
      </c>
      <c r="AN6" s="6">
        <f t="shared" si="15"/>
        <v>383</v>
      </c>
      <c r="AO6" s="6">
        <v>500</v>
      </c>
      <c r="AP6" s="6"/>
      <c r="AQ6" s="6">
        <v>38000</v>
      </c>
      <c r="AR6" s="6"/>
      <c r="AS6" s="6"/>
      <c r="AU6" s="21">
        <f t="shared" si="16"/>
        <v>39472</v>
      </c>
      <c r="AV6" s="6">
        <f t="shared" si="17"/>
        <v>0</v>
      </c>
      <c r="AW6" s="6">
        <f t="shared" si="18"/>
        <v>197</v>
      </c>
      <c r="AX6" s="6">
        <v>500</v>
      </c>
      <c r="AY6" s="6"/>
      <c r="AZ6" s="6">
        <v>697</v>
      </c>
      <c r="BA6" s="6">
        <v>19497</v>
      </c>
      <c r="BB6" s="21">
        <f t="shared" si="19"/>
        <v>58969</v>
      </c>
      <c r="BC6" s="6">
        <f t="shared" si="20"/>
        <v>15705</v>
      </c>
      <c r="BD6" s="6">
        <f t="shared" si="21"/>
        <v>295</v>
      </c>
      <c r="BE6" s="6">
        <v>500</v>
      </c>
      <c r="BF6" s="6">
        <v>2000</v>
      </c>
      <c r="BG6" s="6">
        <v>18500</v>
      </c>
      <c r="BH6" s="6"/>
      <c r="BI6" s="21">
        <f t="shared" si="22"/>
        <v>43264</v>
      </c>
      <c r="BJ6" s="6">
        <f t="shared" si="23"/>
        <v>38284</v>
      </c>
      <c r="BK6" s="6">
        <f t="shared" si="24"/>
        <v>216</v>
      </c>
      <c r="BL6" s="6">
        <v>500</v>
      </c>
      <c r="BM6" s="6">
        <v>2000</v>
      </c>
      <c r="BN6" s="6">
        <v>41000</v>
      </c>
      <c r="BO6" s="6"/>
      <c r="BP6" s="21">
        <f t="shared" si="25"/>
        <v>4980</v>
      </c>
      <c r="BQ6" s="6">
        <f t="shared" si="26"/>
        <v>4980</v>
      </c>
      <c r="BR6" s="6">
        <f t="shared" si="27"/>
        <v>25</v>
      </c>
      <c r="BS6" s="6">
        <v>495</v>
      </c>
      <c r="BT6" s="6">
        <v>2000</v>
      </c>
      <c r="BU6" s="6">
        <v>7500</v>
      </c>
      <c r="BV6" s="6"/>
      <c r="BW6" s="21">
        <f t="shared" si="28"/>
        <v>0</v>
      </c>
      <c r="BX6" s="6">
        <f t="shared" si="29"/>
        <v>0</v>
      </c>
      <c r="BY6" s="6">
        <f t="shared" si="30"/>
        <v>0</v>
      </c>
      <c r="BZ6" s="6">
        <v>500</v>
      </c>
      <c r="CA6" s="6">
        <v>2000</v>
      </c>
      <c r="CB6" s="6">
        <v>2500</v>
      </c>
      <c r="CC6" s="6"/>
      <c r="CD6" s="21">
        <f t="shared" si="31"/>
        <v>0</v>
      </c>
      <c r="CE6" s="6">
        <f t="shared" si="32"/>
        <v>0</v>
      </c>
      <c r="CF6" s="6">
        <f t="shared" si="33"/>
        <v>0</v>
      </c>
      <c r="CG6" s="6">
        <v>500</v>
      </c>
      <c r="CH6" s="6">
        <v>2000</v>
      </c>
      <c r="CI6" s="6">
        <v>2500</v>
      </c>
      <c r="CJ6" s="6"/>
      <c r="CK6" s="5" t="s">
        <v>23</v>
      </c>
      <c r="CL6" s="14">
        <f t="shared" si="34"/>
        <v>0</v>
      </c>
      <c r="CM6" s="14">
        <v>0</v>
      </c>
      <c r="CN6" s="14">
        <v>5000</v>
      </c>
      <c r="CO6" s="14">
        <v>5000</v>
      </c>
      <c r="CP6" s="3">
        <v>83973</v>
      </c>
      <c r="CQ6" s="14">
        <f t="shared" ref="CQ6:CQ25" si="38">CP6+F6+M6+T6+AA6+AH6+AO6+AX6+BE6+BL6+BS6+BZ6+CG6</f>
        <v>89968</v>
      </c>
      <c r="CR6" s="3">
        <f t="shared" si="35"/>
        <v>3778</v>
      </c>
      <c r="CS6" s="41">
        <f t="shared" si="36"/>
        <v>93746</v>
      </c>
      <c r="CT6" s="14">
        <v>156887</v>
      </c>
      <c r="CU6" s="14">
        <v>2613</v>
      </c>
      <c r="CV6" s="14">
        <v>157500</v>
      </c>
      <c r="CW6" s="14">
        <v>613</v>
      </c>
      <c r="CX6" s="14">
        <v>6000</v>
      </c>
    </row>
    <row r="7" spans="1:102">
      <c r="A7" s="3">
        <v>5</v>
      </c>
      <c r="B7" s="5" t="s">
        <v>24</v>
      </c>
      <c r="C7" s="10">
        <v>75210</v>
      </c>
      <c r="D7" s="6">
        <f t="shared" si="0"/>
        <v>5124</v>
      </c>
      <c r="E7" s="6">
        <f t="shared" si="1"/>
        <v>376</v>
      </c>
      <c r="F7" s="6">
        <v>500</v>
      </c>
      <c r="G7" s="6">
        <v>1000</v>
      </c>
      <c r="H7" s="6">
        <v>7000</v>
      </c>
      <c r="I7" s="21"/>
      <c r="J7" s="21">
        <f t="shared" si="2"/>
        <v>70086</v>
      </c>
      <c r="K7" s="6">
        <f t="shared" si="3"/>
        <v>4650</v>
      </c>
      <c r="L7" s="6">
        <f t="shared" si="37"/>
        <v>350</v>
      </c>
      <c r="M7" s="6">
        <v>1000</v>
      </c>
      <c r="N7" s="6">
        <v>1000</v>
      </c>
      <c r="O7" s="6">
        <v>7000</v>
      </c>
      <c r="P7" s="6"/>
      <c r="Q7" s="21">
        <f t="shared" si="4"/>
        <v>65436</v>
      </c>
      <c r="R7" s="6">
        <f t="shared" si="5"/>
        <v>4673</v>
      </c>
      <c r="S7" s="6">
        <f t="shared" si="6"/>
        <v>327</v>
      </c>
      <c r="T7" s="6">
        <v>1000</v>
      </c>
      <c r="U7" s="6">
        <v>1000</v>
      </c>
      <c r="V7" s="6">
        <v>7000</v>
      </c>
      <c r="W7" s="6"/>
      <c r="X7" s="21">
        <f t="shared" si="7"/>
        <v>60763</v>
      </c>
      <c r="Y7" s="6">
        <f t="shared" si="8"/>
        <v>4696</v>
      </c>
      <c r="Z7" s="6">
        <f t="shared" si="9"/>
        <v>304</v>
      </c>
      <c r="AA7" s="6">
        <v>1000</v>
      </c>
      <c r="AB7" s="6">
        <v>1000</v>
      </c>
      <c r="AC7" s="6">
        <v>7000</v>
      </c>
      <c r="AD7" s="6"/>
      <c r="AE7" s="21">
        <f t="shared" si="10"/>
        <v>56067</v>
      </c>
      <c r="AF7" s="6">
        <f t="shared" si="11"/>
        <v>4720</v>
      </c>
      <c r="AG7" s="6">
        <f t="shared" si="12"/>
        <v>280</v>
      </c>
      <c r="AH7" s="6">
        <v>1000</v>
      </c>
      <c r="AI7" s="6">
        <v>1000</v>
      </c>
      <c r="AJ7" s="6">
        <v>7000</v>
      </c>
      <c r="AK7" s="6"/>
      <c r="AL7" s="21">
        <f t="shared" si="13"/>
        <v>51347</v>
      </c>
      <c r="AM7" s="6">
        <f t="shared" si="14"/>
        <v>20243</v>
      </c>
      <c r="AN7" s="6">
        <f t="shared" si="15"/>
        <v>257</v>
      </c>
      <c r="AO7" s="6">
        <v>1000</v>
      </c>
      <c r="AP7" s="6"/>
      <c r="AQ7" s="6">
        <v>21500</v>
      </c>
      <c r="AR7" s="6"/>
      <c r="AS7" s="6"/>
      <c r="AU7" s="21">
        <f t="shared" si="16"/>
        <v>31104</v>
      </c>
      <c r="AV7" s="6">
        <f t="shared" si="17"/>
        <v>844</v>
      </c>
      <c r="AW7" s="6">
        <f t="shared" si="18"/>
        <v>156</v>
      </c>
      <c r="AX7" s="6">
        <v>1000</v>
      </c>
      <c r="AY7" s="6"/>
      <c r="AZ7" s="6">
        <v>2000</v>
      </c>
      <c r="BA7" s="6"/>
      <c r="BB7" s="21">
        <f t="shared" si="19"/>
        <v>30260</v>
      </c>
      <c r="BC7" s="6">
        <f t="shared" si="20"/>
        <v>3849</v>
      </c>
      <c r="BD7" s="6">
        <f t="shared" si="21"/>
        <v>151</v>
      </c>
      <c r="BE7" s="6">
        <v>1000</v>
      </c>
      <c r="BF7" s="6">
        <v>2000</v>
      </c>
      <c r="BG7" s="6">
        <v>7000</v>
      </c>
      <c r="BH7" s="6"/>
      <c r="BI7" s="21">
        <f t="shared" si="22"/>
        <v>26411</v>
      </c>
      <c r="BJ7" s="6">
        <f t="shared" si="23"/>
        <v>1868</v>
      </c>
      <c r="BK7" s="6">
        <f t="shared" si="24"/>
        <v>132</v>
      </c>
      <c r="BL7" s="6">
        <v>1000</v>
      </c>
      <c r="BM7" s="6">
        <v>2000</v>
      </c>
      <c r="BN7" s="6">
        <v>5000</v>
      </c>
      <c r="BO7" s="6">
        <v>0</v>
      </c>
      <c r="BP7" s="21">
        <f t="shared" si="25"/>
        <v>24543</v>
      </c>
      <c r="BQ7" s="6">
        <f t="shared" si="26"/>
        <v>1877</v>
      </c>
      <c r="BR7" s="6">
        <f t="shared" si="27"/>
        <v>123</v>
      </c>
      <c r="BS7" s="6">
        <v>1000</v>
      </c>
      <c r="BT7" s="6">
        <v>2000</v>
      </c>
      <c r="BU7" s="6">
        <v>5000</v>
      </c>
      <c r="BV7" s="6">
        <v>0</v>
      </c>
      <c r="BW7" s="21">
        <f t="shared" si="28"/>
        <v>22666</v>
      </c>
      <c r="BX7" s="6">
        <f t="shared" si="29"/>
        <v>2887</v>
      </c>
      <c r="BY7" s="6">
        <f t="shared" si="30"/>
        <v>113</v>
      </c>
      <c r="BZ7" s="6">
        <v>1000</v>
      </c>
      <c r="CA7" s="6">
        <v>2000</v>
      </c>
      <c r="CB7" s="6">
        <v>6000</v>
      </c>
      <c r="CC7" s="6"/>
      <c r="CD7" s="21">
        <f t="shared" si="31"/>
        <v>19779</v>
      </c>
      <c r="CE7" s="6">
        <f t="shared" si="32"/>
        <v>2901</v>
      </c>
      <c r="CF7" s="6">
        <f t="shared" si="33"/>
        <v>99</v>
      </c>
      <c r="CG7" s="6">
        <v>1000</v>
      </c>
      <c r="CH7" s="6">
        <v>2000</v>
      </c>
      <c r="CI7" s="6">
        <v>6000</v>
      </c>
      <c r="CJ7" s="6"/>
      <c r="CK7" s="5" t="s">
        <v>24</v>
      </c>
      <c r="CL7" s="14">
        <f t="shared" si="34"/>
        <v>16878</v>
      </c>
      <c r="CM7" s="14">
        <v>49745</v>
      </c>
      <c r="CN7" s="14">
        <v>5000</v>
      </c>
      <c r="CO7" s="14">
        <v>5000</v>
      </c>
      <c r="CP7" s="3">
        <v>84814</v>
      </c>
      <c r="CQ7" s="14">
        <f t="shared" si="38"/>
        <v>96314</v>
      </c>
      <c r="CR7" s="3">
        <f t="shared" si="35"/>
        <v>4044</v>
      </c>
      <c r="CS7" s="41">
        <f t="shared" si="36"/>
        <v>100358</v>
      </c>
      <c r="CT7" s="14">
        <v>49800</v>
      </c>
      <c r="CU7" s="14">
        <v>1576</v>
      </c>
      <c r="CV7" s="14">
        <v>0</v>
      </c>
      <c r="CW7" s="14">
        <v>0</v>
      </c>
      <c r="CX7" s="14">
        <v>12624</v>
      </c>
    </row>
    <row r="8" spans="1:102">
      <c r="A8" s="3">
        <v>6</v>
      </c>
      <c r="B8" s="5" t="s">
        <v>25</v>
      </c>
      <c r="C8" s="10">
        <v>66335</v>
      </c>
      <c r="D8" s="6">
        <f t="shared" si="0"/>
        <v>2168</v>
      </c>
      <c r="E8" s="6">
        <f t="shared" si="1"/>
        <v>332</v>
      </c>
      <c r="F8" s="6">
        <v>500</v>
      </c>
      <c r="G8" s="6">
        <v>1000</v>
      </c>
      <c r="H8" s="6">
        <v>4000</v>
      </c>
      <c r="I8" s="21"/>
      <c r="J8" s="21">
        <f t="shared" si="2"/>
        <v>64167</v>
      </c>
      <c r="K8" s="6">
        <f t="shared" si="3"/>
        <v>2179</v>
      </c>
      <c r="L8" s="6">
        <f t="shared" si="37"/>
        <v>321</v>
      </c>
      <c r="M8" s="6">
        <v>500</v>
      </c>
      <c r="N8" s="6">
        <v>1000</v>
      </c>
      <c r="O8" s="6">
        <v>4000</v>
      </c>
      <c r="P8" s="6"/>
      <c r="Q8" s="21">
        <f t="shared" si="4"/>
        <v>61988</v>
      </c>
      <c r="R8" s="6">
        <f t="shared" si="5"/>
        <v>2190</v>
      </c>
      <c r="S8" s="6">
        <f t="shared" si="6"/>
        <v>310</v>
      </c>
      <c r="T8" s="6">
        <v>500</v>
      </c>
      <c r="U8" s="6">
        <v>1000</v>
      </c>
      <c r="V8" s="6">
        <v>4000</v>
      </c>
      <c r="W8" s="6">
        <v>5000</v>
      </c>
      <c r="X8" s="21">
        <f t="shared" si="7"/>
        <v>64798</v>
      </c>
      <c r="Y8" s="6">
        <f t="shared" si="8"/>
        <v>2376</v>
      </c>
      <c r="Z8" s="6">
        <f t="shared" si="9"/>
        <v>324</v>
      </c>
      <c r="AA8" s="6">
        <v>500</v>
      </c>
      <c r="AB8" s="6">
        <v>1000</v>
      </c>
      <c r="AC8" s="6">
        <v>4200</v>
      </c>
      <c r="AD8" s="6"/>
      <c r="AE8" s="21">
        <f t="shared" si="10"/>
        <v>62422</v>
      </c>
      <c r="AF8" s="6">
        <f t="shared" si="11"/>
        <v>2388</v>
      </c>
      <c r="AG8" s="6">
        <f t="shared" si="12"/>
        <v>312</v>
      </c>
      <c r="AH8" s="6">
        <v>500</v>
      </c>
      <c r="AI8" s="6">
        <v>1000</v>
      </c>
      <c r="AJ8" s="6">
        <v>4200</v>
      </c>
      <c r="AK8" s="6"/>
      <c r="AL8" s="21">
        <f t="shared" si="13"/>
        <v>60034</v>
      </c>
      <c r="AM8" s="6">
        <f t="shared" si="14"/>
        <v>3200</v>
      </c>
      <c r="AN8" s="6">
        <f t="shared" si="15"/>
        <v>300</v>
      </c>
      <c r="AO8" s="6">
        <v>500</v>
      </c>
      <c r="AP8" s="6"/>
      <c r="AQ8" s="6">
        <v>4000</v>
      </c>
      <c r="AR8" s="6"/>
      <c r="AS8" s="6"/>
      <c r="AU8" s="21">
        <f t="shared" si="16"/>
        <v>56834</v>
      </c>
      <c r="AV8" s="6">
        <f t="shared" si="17"/>
        <v>3216</v>
      </c>
      <c r="AW8" s="6">
        <f t="shared" si="18"/>
        <v>284</v>
      </c>
      <c r="AX8" s="6">
        <v>500</v>
      </c>
      <c r="AY8" s="6"/>
      <c r="AZ8" s="6">
        <v>4000</v>
      </c>
      <c r="BA8" s="6"/>
      <c r="BB8" s="21">
        <f t="shared" si="19"/>
        <v>53618</v>
      </c>
      <c r="BC8" s="6">
        <f t="shared" si="20"/>
        <v>2232</v>
      </c>
      <c r="BD8" s="6">
        <f t="shared" si="21"/>
        <v>268</v>
      </c>
      <c r="BE8" s="6">
        <v>500</v>
      </c>
      <c r="BF8" s="6">
        <v>2000</v>
      </c>
      <c r="BG8" s="6">
        <v>5000</v>
      </c>
      <c r="BH8" s="6">
        <v>21000</v>
      </c>
      <c r="BI8" s="21">
        <f t="shared" si="22"/>
        <v>72386</v>
      </c>
      <c r="BJ8" s="6">
        <f t="shared" si="23"/>
        <v>0</v>
      </c>
      <c r="BK8" s="6">
        <f t="shared" si="24"/>
        <v>362</v>
      </c>
      <c r="BL8" s="6">
        <v>500</v>
      </c>
      <c r="BM8" s="6">
        <v>2000</v>
      </c>
      <c r="BN8" s="6">
        <v>2862</v>
      </c>
      <c r="BO8" s="6">
        <v>2862</v>
      </c>
      <c r="BP8" s="21">
        <f t="shared" si="25"/>
        <v>75248</v>
      </c>
      <c r="BQ8" s="6">
        <f t="shared" si="26"/>
        <v>7124</v>
      </c>
      <c r="BR8" s="6">
        <f t="shared" si="27"/>
        <v>376</v>
      </c>
      <c r="BS8" s="6">
        <v>500</v>
      </c>
      <c r="BT8" s="6">
        <v>2000</v>
      </c>
      <c r="BU8" s="6">
        <v>10000</v>
      </c>
      <c r="BV8" s="6"/>
      <c r="BW8" s="21">
        <f t="shared" si="28"/>
        <v>68124</v>
      </c>
      <c r="BX8" s="6">
        <f t="shared" si="29"/>
        <v>2159</v>
      </c>
      <c r="BY8" s="6">
        <f t="shared" si="30"/>
        <v>341</v>
      </c>
      <c r="BZ8" s="6">
        <v>500</v>
      </c>
      <c r="CA8" s="6">
        <v>2000</v>
      </c>
      <c r="CB8" s="6">
        <v>5000</v>
      </c>
      <c r="CC8" s="6"/>
      <c r="CD8" s="21">
        <f t="shared" si="31"/>
        <v>65965</v>
      </c>
      <c r="CE8" s="6">
        <f t="shared" si="32"/>
        <v>2170</v>
      </c>
      <c r="CF8" s="6">
        <f t="shared" si="33"/>
        <v>330</v>
      </c>
      <c r="CG8" s="6">
        <v>500</v>
      </c>
      <c r="CH8" s="6">
        <v>2000</v>
      </c>
      <c r="CI8" s="6">
        <v>5000</v>
      </c>
      <c r="CJ8" s="6">
        <v>10000</v>
      </c>
      <c r="CK8" s="5" t="s">
        <v>25</v>
      </c>
      <c r="CL8" s="14">
        <f t="shared" si="34"/>
        <v>73795</v>
      </c>
      <c r="CM8" s="14">
        <v>10990</v>
      </c>
      <c r="CN8" s="14">
        <v>5000</v>
      </c>
      <c r="CO8" s="14">
        <v>5000</v>
      </c>
      <c r="CP8" s="3">
        <v>83856</v>
      </c>
      <c r="CQ8" s="14">
        <f t="shared" si="38"/>
        <v>89856</v>
      </c>
      <c r="CR8" s="3">
        <f t="shared" si="35"/>
        <v>3773</v>
      </c>
      <c r="CS8" s="41">
        <f t="shared" si="36"/>
        <v>93629</v>
      </c>
      <c r="CT8" s="14">
        <v>21216</v>
      </c>
      <c r="CU8" s="14">
        <v>1339</v>
      </c>
      <c r="CV8" s="14">
        <v>67000</v>
      </c>
      <c r="CW8" s="14">
        <v>56774</v>
      </c>
      <c r="CX8" s="14">
        <v>6000</v>
      </c>
    </row>
    <row r="9" spans="1:102">
      <c r="A9" s="3">
        <v>7</v>
      </c>
      <c r="B9" s="5" t="s">
        <v>26</v>
      </c>
      <c r="C9" s="10">
        <v>6528</v>
      </c>
      <c r="D9" s="6">
        <f t="shared" si="0"/>
        <v>967</v>
      </c>
      <c r="E9" s="6">
        <f t="shared" si="1"/>
        <v>33</v>
      </c>
      <c r="F9" s="6">
        <v>500</v>
      </c>
      <c r="G9" s="6">
        <v>0</v>
      </c>
      <c r="H9" s="6">
        <v>1500</v>
      </c>
      <c r="I9" s="21">
        <v>9500</v>
      </c>
      <c r="J9" s="21">
        <f t="shared" si="2"/>
        <v>15061</v>
      </c>
      <c r="K9" s="6">
        <f t="shared" si="3"/>
        <v>0</v>
      </c>
      <c r="L9" s="6">
        <f t="shared" si="37"/>
        <v>75</v>
      </c>
      <c r="M9" s="6">
        <v>500</v>
      </c>
      <c r="N9" s="6">
        <v>0</v>
      </c>
      <c r="O9" s="6">
        <v>575</v>
      </c>
      <c r="P9" s="6">
        <v>575</v>
      </c>
      <c r="Q9" s="21">
        <f t="shared" si="4"/>
        <v>15636</v>
      </c>
      <c r="R9" s="6">
        <f t="shared" si="5"/>
        <v>1122</v>
      </c>
      <c r="S9" s="6">
        <f t="shared" si="6"/>
        <v>78</v>
      </c>
      <c r="T9" s="6">
        <v>500</v>
      </c>
      <c r="U9" s="6">
        <v>0</v>
      </c>
      <c r="V9" s="6">
        <v>1700</v>
      </c>
      <c r="W9" s="6"/>
      <c r="X9" s="21">
        <f t="shared" si="7"/>
        <v>14514</v>
      </c>
      <c r="Y9" s="6">
        <f t="shared" si="8"/>
        <v>927</v>
      </c>
      <c r="Z9" s="6">
        <f t="shared" si="9"/>
        <v>73</v>
      </c>
      <c r="AA9" s="6">
        <v>500</v>
      </c>
      <c r="AB9" s="6">
        <v>0</v>
      </c>
      <c r="AC9" s="6">
        <v>1500</v>
      </c>
      <c r="AD9" s="6">
        <v>28000</v>
      </c>
      <c r="AE9" s="21">
        <f t="shared" si="10"/>
        <v>41587</v>
      </c>
      <c r="AF9" s="6">
        <f t="shared" si="11"/>
        <v>23292</v>
      </c>
      <c r="AG9" s="6">
        <f t="shared" si="12"/>
        <v>208</v>
      </c>
      <c r="AH9" s="6">
        <v>500</v>
      </c>
      <c r="AI9" s="6">
        <v>0</v>
      </c>
      <c r="AJ9" s="6">
        <v>24000</v>
      </c>
      <c r="AK9" s="6"/>
      <c r="AL9" s="21">
        <f t="shared" si="13"/>
        <v>18295</v>
      </c>
      <c r="AM9" s="6">
        <f t="shared" si="14"/>
        <v>909</v>
      </c>
      <c r="AN9" s="6">
        <f t="shared" si="15"/>
        <v>91</v>
      </c>
      <c r="AO9" s="6">
        <v>500</v>
      </c>
      <c r="AP9" s="6"/>
      <c r="AQ9" s="6">
        <v>1500</v>
      </c>
      <c r="AR9" s="6"/>
      <c r="AS9" s="6"/>
      <c r="AU9" s="21">
        <f t="shared" si="16"/>
        <v>17386</v>
      </c>
      <c r="AV9" s="6">
        <f t="shared" si="17"/>
        <v>913</v>
      </c>
      <c r="AW9" s="6">
        <f t="shared" si="18"/>
        <v>87</v>
      </c>
      <c r="AX9" s="6">
        <v>500</v>
      </c>
      <c r="AY9" s="6"/>
      <c r="AZ9" s="28">
        <v>1500</v>
      </c>
      <c r="BA9" s="6"/>
      <c r="BB9" s="21">
        <f t="shared" si="19"/>
        <v>16473</v>
      </c>
      <c r="BC9" s="6">
        <f t="shared" si="20"/>
        <v>918</v>
      </c>
      <c r="BD9" s="6">
        <f t="shared" si="21"/>
        <v>82</v>
      </c>
      <c r="BE9" s="6">
        <v>500</v>
      </c>
      <c r="BF9" s="6">
        <v>1000</v>
      </c>
      <c r="BG9" s="6">
        <v>2500</v>
      </c>
      <c r="BH9" s="6">
        <v>0</v>
      </c>
      <c r="BI9" s="21">
        <f t="shared" si="22"/>
        <v>15555</v>
      </c>
      <c r="BJ9" s="6">
        <f t="shared" si="23"/>
        <v>0</v>
      </c>
      <c r="BK9" s="6">
        <f t="shared" si="24"/>
        <v>78</v>
      </c>
      <c r="BL9" s="6">
        <v>500</v>
      </c>
      <c r="BM9" s="6">
        <v>1000</v>
      </c>
      <c r="BN9" s="6">
        <v>1578</v>
      </c>
      <c r="BO9" s="6">
        <v>1578</v>
      </c>
      <c r="BP9" s="21">
        <f t="shared" si="25"/>
        <v>17133</v>
      </c>
      <c r="BQ9" s="6">
        <f t="shared" si="26"/>
        <v>914</v>
      </c>
      <c r="BR9" s="6">
        <f t="shared" si="27"/>
        <v>86</v>
      </c>
      <c r="BS9" s="6">
        <v>500</v>
      </c>
      <c r="BT9" s="6">
        <v>1000</v>
      </c>
      <c r="BU9" s="21">
        <v>2500</v>
      </c>
      <c r="BV9" s="6"/>
      <c r="BW9" s="21">
        <f t="shared" si="28"/>
        <v>16219</v>
      </c>
      <c r="BX9" s="6">
        <f t="shared" si="29"/>
        <v>0</v>
      </c>
      <c r="BY9" s="6">
        <f t="shared" si="30"/>
        <v>81</v>
      </c>
      <c r="BZ9" s="6">
        <v>500</v>
      </c>
      <c r="CA9" s="6">
        <v>1000</v>
      </c>
      <c r="CB9" s="21">
        <v>1581</v>
      </c>
      <c r="CC9" s="6">
        <v>1581</v>
      </c>
      <c r="CD9" s="21">
        <f t="shared" si="31"/>
        <v>17800</v>
      </c>
      <c r="CE9" s="6">
        <f t="shared" si="32"/>
        <v>0</v>
      </c>
      <c r="CF9" s="6">
        <f t="shared" si="33"/>
        <v>89</v>
      </c>
      <c r="CG9" s="6">
        <v>500</v>
      </c>
      <c r="CH9" s="6">
        <v>1000</v>
      </c>
      <c r="CI9" s="6">
        <v>1589</v>
      </c>
      <c r="CJ9" s="6">
        <v>1589</v>
      </c>
      <c r="CK9" s="5" t="s">
        <v>26</v>
      </c>
      <c r="CL9" s="14">
        <f t="shared" si="34"/>
        <v>19389</v>
      </c>
      <c r="CM9" s="14">
        <v>111359</v>
      </c>
      <c r="CN9" s="14">
        <v>5000</v>
      </c>
      <c r="CO9" s="14"/>
      <c r="CP9" s="3">
        <v>6360</v>
      </c>
      <c r="CQ9" s="14">
        <f t="shared" si="38"/>
        <v>12360</v>
      </c>
      <c r="CR9" s="3">
        <f t="shared" si="35"/>
        <v>519</v>
      </c>
      <c r="CS9" s="41">
        <f t="shared" si="36"/>
        <v>12879</v>
      </c>
      <c r="CT9" s="14">
        <v>16276</v>
      </c>
      <c r="CU9" s="14">
        <v>6609</v>
      </c>
      <c r="CV9" s="14">
        <v>25185</v>
      </c>
      <c r="CW9" s="14">
        <v>120252</v>
      </c>
      <c r="CX9" s="14">
        <v>6000</v>
      </c>
    </row>
    <row r="10" spans="1:102">
      <c r="A10" s="3">
        <v>8</v>
      </c>
      <c r="B10" s="5" t="s">
        <v>27</v>
      </c>
      <c r="C10" s="10">
        <v>56060</v>
      </c>
      <c r="D10" s="6">
        <f t="shared" si="0"/>
        <v>2220</v>
      </c>
      <c r="E10" s="6">
        <f t="shared" si="1"/>
        <v>280</v>
      </c>
      <c r="F10" s="6">
        <v>500</v>
      </c>
      <c r="G10" s="6">
        <v>0</v>
      </c>
      <c r="H10" s="6">
        <v>3000</v>
      </c>
      <c r="I10" s="21">
        <v>20200</v>
      </c>
      <c r="J10" s="21">
        <f t="shared" si="2"/>
        <v>74040</v>
      </c>
      <c r="K10" s="6">
        <f t="shared" si="3"/>
        <v>3130</v>
      </c>
      <c r="L10" s="6">
        <f t="shared" si="37"/>
        <v>370</v>
      </c>
      <c r="M10" s="6">
        <v>500</v>
      </c>
      <c r="N10" s="6">
        <v>0</v>
      </c>
      <c r="O10" s="6">
        <v>4000</v>
      </c>
      <c r="P10" s="1">
        <v>21000</v>
      </c>
      <c r="Q10" s="21">
        <f t="shared" si="4"/>
        <v>91910</v>
      </c>
      <c r="R10" s="6">
        <f t="shared" si="5"/>
        <v>4040</v>
      </c>
      <c r="S10" s="6">
        <f t="shared" si="6"/>
        <v>460</v>
      </c>
      <c r="T10" s="6">
        <v>500</v>
      </c>
      <c r="U10" s="6">
        <v>0</v>
      </c>
      <c r="V10" s="6">
        <v>5000</v>
      </c>
      <c r="W10" s="6"/>
      <c r="X10" s="21">
        <f t="shared" si="7"/>
        <v>87870</v>
      </c>
      <c r="Y10" s="6">
        <f t="shared" si="8"/>
        <v>44061</v>
      </c>
      <c r="Z10" s="6">
        <f t="shared" si="9"/>
        <v>439</v>
      </c>
      <c r="AA10" s="6">
        <v>500</v>
      </c>
      <c r="AB10" s="6">
        <v>0</v>
      </c>
      <c r="AC10" s="6">
        <v>45000</v>
      </c>
      <c r="AD10" s="6"/>
      <c r="AE10" s="21">
        <f t="shared" si="10"/>
        <v>43809</v>
      </c>
      <c r="AF10" s="6">
        <f t="shared" si="11"/>
        <v>43809</v>
      </c>
      <c r="AG10" s="6">
        <f t="shared" si="12"/>
        <v>219</v>
      </c>
      <c r="AH10" s="6">
        <v>572</v>
      </c>
      <c r="AI10" s="6">
        <v>0</v>
      </c>
      <c r="AJ10" s="6">
        <v>44600</v>
      </c>
      <c r="AK10" s="6"/>
      <c r="AL10" s="21">
        <f t="shared" si="13"/>
        <v>0</v>
      </c>
      <c r="AM10" s="6">
        <f t="shared" si="14"/>
        <v>0</v>
      </c>
      <c r="AN10" s="6">
        <f t="shared" si="15"/>
        <v>0</v>
      </c>
      <c r="AO10" s="6">
        <v>500</v>
      </c>
      <c r="AP10" s="6"/>
      <c r="AQ10" s="6">
        <v>500</v>
      </c>
      <c r="AR10" s="6"/>
      <c r="AS10" s="6"/>
      <c r="AU10" s="21">
        <f t="shared" si="16"/>
        <v>0</v>
      </c>
      <c r="AV10" s="6">
        <f t="shared" si="17"/>
        <v>0</v>
      </c>
      <c r="AW10" s="6">
        <f t="shared" si="18"/>
        <v>0</v>
      </c>
      <c r="AX10" s="6">
        <v>500</v>
      </c>
      <c r="AY10" s="6"/>
      <c r="AZ10" s="28">
        <v>500</v>
      </c>
      <c r="BA10" s="6"/>
      <c r="BB10" s="21">
        <f t="shared" si="19"/>
        <v>0</v>
      </c>
      <c r="BC10" s="6">
        <f t="shared" si="20"/>
        <v>0</v>
      </c>
      <c r="BD10" s="6">
        <f t="shared" si="21"/>
        <v>0</v>
      </c>
      <c r="BE10" s="6">
        <v>500</v>
      </c>
      <c r="BF10" s="6">
        <v>15000</v>
      </c>
      <c r="BG10" s="6">
        <v>15500</v>
      </c>
      <c r="BH10" s="6"/>
      <c r="BI10" s="21">
        <f t="shared" si="22"/>
        <v>0</v>
      </c>
      <c r="BJ10" s="6">
        <f t="shared" si="23"/>
        <v>0</v>
      </c>
      <c r="BK10" s="6">
        <f t="shared" si="24"/>
        <v>0</v>
      </c>
      <c r="BL10" s="6">
        <v>500</v>
      </c>
      <c r="BM10" s="6">
        <v>0</v>
      </c>
      <c r="BN10" s="6">
        <v>500</v>
      </c>
      <c r="BO10" s="6"/>
      <c r="BP10" s="21">
        <f t="shared" si="25"/>
        <v>0</v>
      </c>
      <c r="BQ10" s="6">
        <f t="shared" si="26"/>
        <v>0</v>
      </c>
      <c r="BR10" s="6">
        <f t="shared" si="27"/>
        <v>0</v>
      </c>
      <c r="BS10" s="6">
        <v>500</v>
      </c>
      <c r="BT10" s="6">
        <v>0</v>
      </c>
      <c r="BU10" s="21">
        <v>500</v>
      </c>
      <c r="BV10" s="6"/>
      <c r="BW10" s="21">
        <f t="shared" si="28"/>
        <v>0</v>
      </c>
      <c r="BX10" s="6">
        <f t="shared" si="29"/>
        <v>0</v>
      </c>
      <c r="BY10" s="6">
        <f t="shared" si="30"/>
        <v>0</v>
      </c>
      <c r="BZ10" s="6">
        <v>500</v>
      </c>
      <c r="CA10" s="6">
        <v>0</v>
      </c>
      <c r="CB10" s="6">
        <v>500</v>
      </c>
      <c r="CC10" s="6"/>
      <c r="CD10" s="21">
        <f t="shared" si="31"/>
        <v>0</v>
      </c>
      <c r="CE10" s="6">
        <f t="shared" si="32"/>
        <v>0</v>
      </c>
      <c r="CF10" s="6">
        <f t="shared" si="33"/>
        <v>0</v>
      </c>
      <c r="CG10" s="6">
        <v>500</v>
      </c>
      <c r="CH10" s="6">
        <v>0</v>
      </c>
      <c r="CI10" s="6">
        <v>500</v>
      </c>
      <c r="CJ10" s="6"/>
      <c r="CK10" s="5" t="s">
        <v>27</v>
      </c>
      <c r="CL10" s="14">
        <f t="shared" si="34"/>
        <v>0</v>
      </c>
      <c r="CM10" s="14">
        <v>0</v>
      </c>
      <c r="CN10" s="14">
        <v>0</v>
      </c>
      <c r="CO10" s="14"/>
      <c r="CP10" s="3">
        <v>50537</v>
      </c>
      <c r="CQ10" s="14">
        <f t="shared" si="38"/>
        <v>56609</v>
      </c>
      <c r="CR10" s="3">
        <f t="shared" si="35"/>
        <v>2377</v>
      </c>
      <c r="CS10" s="41">
        <f t="shared" si="36"/>
        <v>58986</v>
      </c>
      <c r="CT10" s="14">
        <v>0</v>
      </c>
      <c r="CU10" s="14">
        <v>0</v>
      </c>
      <c r="CV10" s="14">
        <v>0</v>
      </c>
      <c r="CW10" s="14">
        <v>0</v>
      </c>
      <c r="CX10" s="14">
        <v>6000</v>
      </c>
    </row>
    <row r="11" spans="1:102">
      <c r="A11" s="3">
        <v>9</v>
      </c>
      <c r="B11" s="5" t="s">
        <v>28</v>
      </c>
      <c r="C11" s="10">
        <v>45081</v>
      </c>
      <c r="D11" s="6">
        <f t="shared" si="0"/>
        <v>1775</v>
      </c>
      <c r="E11" s="6">
        <f t="shared" si="1"/>
        <v>225</v>
      </c>
      <c r="F11" s="6">
        <v>500</v>
      </c>
      <c r="G11" s="6">
        <v>0</v>
      </c>
      <c r="H11" s="6">
        <v>2500</v>
      </c>
      <c r="I11" s="21"/>
      <c r="J11" s="21">
        <f t="shared" si="2"/>
        <v>43306</v>
      </c>
      <c r="K11" s="6">
        <f t="shared" si="3"/>
        <v>1783</v>
      </c>
      <c r="L11" s="6">
        <f t="shared" si="37"/>
        <v>217</v>
      </c>
      <c r="M11" s="6">
        <v>500</v>
      </c>
      <c r="N11" s="6">
        <v>0</v>
      </c>
      <c r="O11" s="6">
        <v>2500</v>
      </c>
      <c r="Q11" s="21">
        <f t="shared" si="4"/>
        <v>41523</v>
      </c>
      <c r="R11" s="6">
        <f t="shared" si="5"/>
        <v>1792</v>
      </c>
      <c r="S11" s="6">
        <f t="shared" si="6"/>
        <v>208</v>
      </c>
      <c r="T11" s="6">
        <v>500</v>
      </c>
      <c r="U11" s="6">
        <v>0</v>
      </c>
      <c r="V11" s="6">
        <v>2500</v>
      </c>
      <c r="W11" s="6"/>
      <c r="X11" s="21">
        <f t="shared" si="7"/>
        <v>39731</v>
      </c>
      <c r="Y11" s="6">
        <f t="shared" si="8"/>
        <v>1801</v>
      </c>
      <c r="Z11" s="6">
        <f t="shared" si="9"/>
        <v>199</v>
      </c>
      <c r="AA11" s="6">
        <v>500</v>
      </c>
      <c r="AB11" s="6">
        <v>0</v>
      </c>
      <c r="AC11" s="6">
        <v>2500</v>
      </c>
      <c r="AD11" s="6"/>
      <c r="AE11" s="21">
        <f t="shared" si="10"/>
        <v>37930</v>
      </c>
      <c r="AF11" s="6">
        <f t="shared" si="11"/>
        <v>1810</v>
      </c>
      <c r="AG11" s="6">
        <f t="shared" si="12"/>
        <v>190</v>
      </c>
      <c r="AH11" s="6">
        <v>500</v>
      </c>
      <c r="AI11" s="6">
        <v>0</v>
      </c>
      <c r="AJ11" s="6">
        <v>2500</v>
      </c>
      <c r="AK11" s="6"/>
      <c r="AL11" s="21">
        <f t="shared" si="13"/>
        <v>36120</v>
      </c>
      <c r="AM11" s="6">
        <f t="shared" si="14"/>
        <v>1819</v>
      </c>
      <c r="AN11" s="6">
        <f t="shared" si="15"/>
        <v>181</v>
      </c>
      <c r="AO11" s="6">
        <v>500</v>
      </c>
      <c r="AP11" s="6"/>
      <c r="AQ11" s="6">
        <v>2500</v>
      </c>
      <c r="AR11" s="6"/>
      <c r="AS11" s="6"/>
      <c r="AU11" s="21">
        <f t="shared" si="16"/>
        <v>34301</v>
      </c>
      <c r="AV11" s="6">
        <f t="shared" si="17"/>
        <v>1828</v>
      </c>
      <c r="AW11" s="6">
        <f t="shared" si="18"/>
        <v>172</v>
      </c>
      <c r="AX11" s="6">
        <v>500</v>
      </c>
      <c r="AY11" s="6"/>
      <c r="AZ11" s="6">
        <v>2500</v>
      </c>
      <c r="BA11" s="6"/>
      <c r="BB11" s="21">
        <f t="shared" si="19"/>
        <v>32473</v>
      </c>
      <c r="BC11" s="6">
        <f t="shared" si="20"/>
        <v>1838</v>
      </c>
      <c r="BD11" s="6">
        <f t="shared" si="21"/>
        <v>162</v>
      </c>
      <c r="BE11" s="6">
        <v>500</v>
      </c>
      <c r="BF11" s="6">
        <v>1500</v>
      </c>
      <c r="BG11" s="6">
        <v>4000</v>
      </c>
      <c r="BH11" s="6">
        <v>50000</v>
      </c>
      <c r="BI11" s="21">
        <f t="shared" si="22"/>
        <v>80635</v>
      </c>
      <c r="BJ11" s="6">
        <f t="shared" si="23"/>
        <v>2597</v>
      </c>
      <c r="BK11" s="6">
        <f t="shared" si="24"/>
        <v>403</v>
      </c>
      <c r="BL11" s="6">
        <v>500</v>
      </c>
      <c r="BM11" s="6">
        <v>1500</v>
      </c>
      <c r="BN11" s="6">
        <v>5000</v>
      </c>
      <c r="BO11" s="6">
        <v>0</v>
      </c>
      <c r="BP11" s="21">
        <f t="shared" si="25"/>
        <v>78038</v>
      </c>
      <c r="BQ11" s="6">
        <f t="shared" si="26"/>
        <v>2610</v>
      </c>
      <c r="BR11" s="6">
        <f t="shared" si="27"/>
        <v>390</v>
      </c>
      <c r="BS11" s="6">
        <v>500</v>
      </c>
      <c r="BT11" s="6">
        <v>1500</v>
      </c>
      <c r="BU11" s="6">
        <v>5000</v>
      </c>
      <c r="BV11" s="6"/>
      <c r="BW11" s="21">
        <f t="shared" si="28"/>
        <v>75428</v>
      </c>
      <c r="BX11" s="6">
        <f t="shared" si="29"/>
        <v>2623</v>
      </c>
      <c r="BY11" s="6">
        <f t="shared" si="30"/>
        <v>377</v>
      </c>
      <c r="BZ11" s="6">
        <v>500</v>
      </c>
      <c r="CA11" s="6">
        <v>1500</v>
      </c>
      <c r="CB11" s="6">
        <v>5000</v>
      </c>
      <c r="CC11" s="6"/>
      <c r="CD11" s="21">
        <f t="shared" si="31"/>
        <v>72805</v>
      </c>
      <c r="CE11" s="6">
        <f t="shared" si="32"/>
        <v>2636</v>
      </c>
      <c r="CF11" s="6">
        <f t="shared" si="33"/>
        <v>364</v>
      </c>
      <c r="CG11" s="6">
        <v>500</v>
      </c>
      <c r="CH11" s="6">
        <v>1500</v>
      </c>
      <c r="CI11" s="6">
        <v>5000</v>
      </c>
      <c r="CJ11" s="6"/>
      <c r="CK11" s="5" t="s">
        <v>28</v>
      </c>
      <c r="CL11" s="14">
        <f t="shared" si="34"/>
        <v>70169</v>
      </c>
      <c r="CM11" s="14">
        <v>140266</v>
      </c>
      <c r="CN11" s="14">
        <v>0</v>
      </c>
      <c r="CO11" s="14"/>
      <c r="CP11" s="3">
        <v>50727</v>
      </c>
      <c r="CQ11" s="14">
        <f t="shared" si="38"/>
        <v>56727</v>
      </c>
      <c r="CR11" s="3">
        <f t="shared" si="35"/>
        <v>2382</v>
      </c>
      <c r="CS11" s="41">
        <f t="shared" si="36"/>
        <v>59109</v>
      </c>
      <c r="CT11" s="14">
        <v>46589</v>
      </c>
      <c r="CU11" s="14">
        <v>12777</v>
      </c>
      <c r="CV11" s="14">
        <v>145366</v>
      </c>
      <c r="CW11" s="14">
        <v>239097</v>
      </c>
      <c r="CX11" s="14">
        <v>6000</v>
      </c>
    </row>
    <row r="12" spans="1:102">
      <c r="A12" s="3">
        <v>10</v>
      </c>
      <c r="B12" s="5" t="s">
        <v>29</v>
      </c>
      <c r="C12" s="10">
        <v>72462</v>
      </c>
      <c r="D12" s="6">
        <f t="shared" si="0"/>
        <v>4138</v>
      </c>
      <c r="E12" s="6">
        <f t="shared" si="1"/>
        <v>362</v>
      </c>
      <c r="F12" s="6">
        <v>500</v>
      </c>
      <c r="G12" s="6">
        <v>1000</v>
      </c>
      <c r="H12" s="6">
        <v>6000</v>
      </c>
      <c r="I12" s="21">
        <v>1000</v>
      </c>
      <c r="J12" s="21">
        <f t="shared" si="2"/>
        <v>69324</v>
      </c>
      <c r="K12" s="6">
        <f t="shared" si="3"/>
        <v>4153</v>
      </c>
      <c r="L12" s="6">
        <f t="shared" si="37"/>
        <v>347</v>
      </c>
      <c r="M12" s="6">
        <v>500</v>
      </c>
      <c r="N12" s="6">
        <v>1000</v>
      </c>
      <c r="O12" s="6">
        <v>6000</v>
      </c>
      <c r="P12" s="6">
        <v>0</v>
      </c>
      <c r="Q12" s="21">
        <f t="shared" si="4"/>
        <v>65171</v>
      </c>
      <c r="R12" s="6">
        <f t="shared" si="5"/>
        <v>4174</v>
      </c>
      <c r="S12" s="6">
        <f t="shared" si="6"/>
        <v>326</v>
      </c>
      <c r="T12" s="6">
        <v>500</v>
      </c>
      <c r="U12" s="6">
        <v>1000</v>
      </c>
      <c r="V12" s="6">
        <v>6000</v>
      </c>
      <c r="W12" s="6"/>
      <c r="X12" s="21">
        <f t="shared" si="7"/>
        <v>60997</v>
      </c>
      <c r="Y12" s="6">
        <f t="shared" si="8"/>
        <v>58195</v>
      </c>
      <c r="Z12" s="6">
        <f t="shared" si="9"/>
        <v>305</v>
      </c>
      <c r="AA12" s="6">
        <v>500</v>
      </c>
      <c r="AB12" s="6">
        <v>1000</v>
      </c>
      <c r="AC12" s="6">
        <v>60000</v>
      </c>
      <c r="AD12" s="6">
        <v>90000</v>
      </c>
      <c r="AE12" s="21">
        <f t="shared" si="10"/>
        <v>92802</v>
      </c>
      <c r="AF12" s="6">
        <f t="shared" si="11"/>
        <v>2536</v>
      </c>
      <c r="AG12" s="6">
        <f t="shared" si="12"/>
        <v>464</v>
      </c>
      <c r="AH12" s="6">
        <v>500</v>
      </c>
      <c r="AI12" s="6">
        <v>1000</v>
      </c>
      <c r="AJ12" s="6">
        <v>4500</v>
      </c>
      <c r="AK12" s="6"/>
      <c r="AL12" s="21">
        <f t="shared" si="13"/>
        <v>90266</v>
      </c>
      <c r="AM12" s="6">
        <f t="shared" si="14"/>
        <v>2549</v>
      </c>
      <c r="AN12" s="6">
        <f t="shared" si="15"/>
        <v>451</v>
      </c>
      <c r="AO12" s="6">
        <v>500</v>
      </c>
      <c r="AP12" s="6"/>
      <c r="AQ12" s="6">
        <v>3500</v>
      </c>
      <c r="AR12" s="6"/>
      <c r="AS12" s="6"/>
      <c r="AU12" s="21">
        <f t="shared" si="16"/>
        <v>87717</v>
      </c>
      <c r="AV12" s="6">
        <f t="shared" si="17"/>
        <v>2561</v>
      </c>
      <c r="AW12" s="6">
        <f t="shared" si="18"/>
        <v>439</v>
      </c>
      <c r="AX12" s="6">
        <v>500</v>
      </c>
      <c r="AY12" s="6"/>
      <c r="AZ12" s="6">
        <v>3500</v>
      </c>
      <c r="BA12" s="6"/>
      <c r="BB12" s="21">
        <f t="shared" si="19"/>
        <v>85156</v>
      </c>
      <c r="BC12" s="6">
        <f t="shared" si="20"/>
        <v>2074</v>
      </c>
      <c r="BD12" s="6">
        <f t="shared" si="21"/>
        <v>426</v>
      </c>
      <c r="BE12" s="6">
        <v>500</v>
      </c>
      <c r="BF12" s="6">
        <v>1500</v>
      </c>
      <c r="BG12" s="6">
        <v>4500</v>
      </c>
      <c r="BH12" s="6">
        <v>0</v>
      </c>
      <c r="BI12" s="21">
        <f t="shared" si="22"/>
        <v>83082</v>
      </c>
      <c r="BJ12" s="6">
        <f t="shared" si="23"/>
        <v>-415</v>
      </c>
      <c r="BK12" s="6">
        <f t="shared" si="24"/>
        <v>415</v>
      </c>
      <c r="BL12" s="6">
        <v>500</v>
      </c>
      <c r="BM12" s="6">
        <v>1500</v>
      </c>
      <c r="BN12" s="6">
        <v>2000</v>
      </c>
      <c r="BO12" s="6"/>
      <c r="BP12" s="21">
        <f t="shared" si="25"/>
        <v>83497</v>
      </c>
      <c r="BQ12" s="6">
        <f t="shared" si="26"/>
        <v>1583</v>
      </c>
      <c r="BR12" s="6">
        <f t="shared" si="27"/>
        <v>417</v>
      </c>
      <c r="BS12" s="6">
        <v>500</v>
      </c>
      <c r="BT12" s="6">
        <v>1500</v>
      </c>
      <c r="BU12" s="6">
        <v>4000</v>
      </c>
      <c r="BV12" s="6"/>
      <c r="BW12" s="21">
        <f t="shared" si="28"/>
        <v>81914</v>
      </c>
      <c r="BX12" s="6">
        <f t="shared" si="29"/>
        <v>3090</v>
      </c>
      <c r="BY12" s="6">
        <f t="shared" si="30"/>
        <v>410</v>
      </c>
      <c r="BZ12" s="6">
        <v>500</v>
      </c>
      <c r="CA12" s="6">
        <v>1500</v>
      </c>
      <c r="CB12" s="6">
        <v>5500</v>
      </c>
      <c r="CC12" s="6"/>
      <c r="CD12" s="21">
        <f t="shared" si="31"/>
        <v>78824</v>
      </c>
      <c r="CE12" s="6">
        <f t="shared" si="32"/>
        <v>3606</v>
      </c>
      <c r="CF12" s="6">
        <f t="shared" si="33"/>
        <v>394</v>
      </c>
      <c r="CG12" s="6">
        <v>500</v>
      </c>
      <c r="CH12" s="6">
        <v>1500</v>
      </c>
      <c r="CI12" s="6">
        <v>6000</v>
      </c>
      <c r="CJ12" s="6"/>
      <c r="CK12" s="5" t="s">
        <v>29</v>
      </c>
      <c r="CL12" s="14">
        <f t="shared" si="34"/>
        <v>75218</v>
      </c>
      <c r="CM12" s="14">
        <v>150361</v>
      </c>
      <c r="CN12" s="14">
        <v>0</v>
      </c>
      <c r="CO12" s="14"/>
      <c r="CP12" s="3">
        <v>50332</v>
      </c>
      <c r="CQ12" s="14">
        <f t="shared" si="38"/>
        <v>56332</v>
      </c>
      <c r="CR12" s="3">
        <f t="shared" si="35"/>
        <v>2366</v>
      </c>
      <c r="CS12" s="41">
        <f t="shared" si="36"/>
        <v>58698</v>
      </c>
      <c r="CT12" s="14">
        <v>60491</v>
      </c>
      <c r="CU12" s="14">
        <v>9147</v>
      </c>
      <c r="CV12" s="14">
        <v>86804</v>
      </c>
      <c r="CW12" s="14">
        <v>176675</v>
      </c>
      <c r="CX12" s="14">
        <v>12000</v>
      </c>
    </row>
    <row r="13" spans="1:102">
      <c r="A13" s="3">
        <v>11</v>
      </c>
      <c r="B13" s="5" t="s">
        <v>30</v>
      </c>
      <c r="C13" s="10">
        <v>0</v>
      </c>
      <c r="D13" s="6">
        <f t="shared" si="0"/>
        <v>0</v>
      </c>
      <c r="E13" s="6">
        <f t="shared" si="1"/>
        <v>0</v>
      </c>
      <c r="F13" s="6">
        <v>2000</v>
      </c>
      <c r="G13" s="6">
        <v>0</v>
      </c>
      <c r="H13" s="6">
        <v>2000</v>
      </c>
      <c r="I13" s="21"/>
      <c r="J13" s="21">
        <f t="shared" si="2"/>
        <v>0</v>
      </c>
      <c r="K13" s="6">
        <f t="shared" si="3"/>
        <v>0</v>
      </c>
      <c r="L13" s="6">
        <f t="shared" si="37"/>
        <v>0</v>
      </c>
      <c r="M13" s="6">
        <v>2000</v>
      </c>
      <c r="N13" s="6">
        <v>0</v>
      </c>
      <c r="O13" s="6">
        <v>2000</v>
      </c>
      <c r="P13" s="6"/>
      <c r="Q13" s="21">
        <f t="shared" si="4"/>
        <v>0</v>
      </c>
      <c r="R13" s="6">
        <f t="shared" si="5"/>
        <v>0</v>
      </c>
      <c r="S13" s="6">
        <f t="shared" si="6"/>
        <v>0</v>
      </c>
      <c r="T13" s="6">
        <v>2000</v>
      </c>
      <c r="U13" s="6">
        <v>0</v>
      </c>
      <c r="V13" s="6">
        <v>2000</v>
      </c>
      <c r="W13" s="6"/>
      <c r="X13" s="21">
        <f t="shared" si="7"/>
        <v>0</v>
      </c>
      <c r="Y13" s="6">
        <f t="shared" si="8"/>
        <v>0</v>
      </c>
      <c r="Z13" s="6">
        <f t="shared" si="9"/>
        <v>0</v>
      </c>
      <c r="AA13" s="6">
        <v>2000</v>
      </c>
      <c r="AB13" s="6">
        <v>0</v>
      </c>
      <c r="AC13" s="6">
        <v>2000</v>
      </c>
      <c r="AD13" s="6"/>
      <c r="AE13" s="21">
        <f t="shared" si="10"/>
        <v>0</v>
      </c>
      <c r="AF13" s="6">
        <f t="shared" si="11"/>
        <v>0</v>
      </c>
      <c r="AG13" s="6">
        <f t="shared" si="12"/>
        <v>0</v>
      </c>
      <c r="AH13" s="6">
        <v>2000</v>
      </c>
      <c r="AI13" s="6">
        <v>0</v>
      </c>
      <c r="AJ13" s="6">
        <v>2000</v>
      </c>
      <c r="AK13" s="6"/>
      <c r="AL13" s="21">
        <f t="shared" si="13"/>
        <v>0</v>
      </c>
      <c r="AM13" s="6">
        <f t="shared" si="14"/>
        <v>0</v>
      </c>
      <c r="AN13" s="6">
        <f t="shared" si="15"/>
        <v>0</v>
      </c>
      <c r="AO13" s="6">
        <v>2000</v>
      </c>
      <c r="AP13" s="6"/>
      <c r="AQ13" s="6">
        <v>2000</v>
      </c>
      <c r="AR13" s="6"/>
      <c r="AS13" s="6"/>
      <c r="AU13" s="21">
        <f t="shared" si="16"/>
        <v>0</v>
      </c>
      <c r="AV13" s="6">
        <f t="shared" si="17"/>
        <v>0</v>
      </c>
      <c r="AW13" s="6">
        <f t="shared" si="18"/>
        <v>0</v>
      </c>
      <c r="AX13" s="6">
        <v>2000</v>
      </c>
      <c r="AY13" s="6"/>
      <c r="AZ13" s="6">
        <v>2000</v>
      </c>
      <c r="BA13" s="6"/>
      <c r="BB13" s="21">
        <f t="shared" si="19"/>
        <v>0</v>
      </c>
      <c r="BC13" s="6">
        <f t="shared" si="20"/>
        <v>0</v>
      </c>
      <c r="BD13" s="6">
        <f t="shared" si="21"/>
        <v>0</v>
      </c>
      <c r="BE13" s="6">
        <v>2000</v>
      </c>
      <c r="BF13" s="6">
        <v>0</v>
      </c>
      <c r="BG13" s="6">
        <v>2000</v>
      </c>
      <c r="BH13" s="6"/>
      <c r="BI13" s="21">
        <f t="shared" si="22"/>
        <v>0</v>
      </c>
      <c r="BJ13" s="6">
        <f t="shared" si="23"/>
        <v>0</v>
      </c>
      <c r="BK13" s="6">
        <f t="shared" si="24"/>
        <v>0</v>
      </c>
      <c r="BL13" s="6">
        <v>2000</v>
      </c>
      <c r="BM13" s="6">
        <v>0</v>
      </c>
      <c r="BN13" s="6">
        <v>2000</v>
      </c>
      <c r="BO13" s="6"/>
      <c r="BP13" s="21">
        <f t="shared" si="25"/>
        <v>0</v>
      </c>
      <c r="BQ13" s="6">
        <f t="shared" si="26"/>
        <v>0</v>
      </c>
      <c r="BR13" s="6">
        <f t="shared" si="27"/>
        <v>0</v>
      </c>
      <c r="BS13" s="6">
        <v>2000</v>
      </c>
      <c r="BT13" s="6">
        <v>0</v>
      </c>
      <c r="BU13" s="6">
        <v>2000</v>
      </c>
      <c r="BV13" s="6"/>
      <c r="BW13" s="21">
        <f t="shared" si="28"/>
        <v>0</v>
      </c>
      <c r="BX13" s="6">
        <f t="shared" si="29"/>
        <v>0</v>
      </c>
      <c r="BY13" s="6">
        <f t="shared" si="30"/>
        <v>0</v>
      </c>
      <c r="BZ13" s="6">
        <v>2000</v>
      </c>
      <c r="CA13" s="6">
        <v>0</v>
      </c>
      <c r="CB13" s="6">
        <v>2000</v>
      </c>
      <c r="CC13" s="6"/>
      <c r="CD13" s="21">
        <f t="shared" si="31"/>
        <v>0</v>
      </c>
      <c r="CE13" s="6">
        <f t="shared" si="32"/>
        <v>0</v>
      </c>
      <c r="CF13" s="6">
        <f t="shared" si="33"/>
        <v>0</v>
      </c>
      <c r="CG13" s="6">
        <v>2000</v>
      </c>
      <c r="CH13" s="6">
        <v>0</v>
      </c>
      <c r="CI13" s="6">
        <v>2000</v>
      </c>
      <c r="CJ13" s="6"/>
      <c r="CK13" s="5" t="s">
        <v>30</v>
      </c>
      <c r="CL13" s="14">
        <f t="shared" si="34"/>
        <v>0</v>
      </c>
      <c r="CM13" s="14">
        <v>0</v>
      </c>
      <c r="CN13" s="14">
        <v>0</v>
      </c>
      <c r="CO13" s="14"/>
      <c r="CP13" s="3">
        <v>59712</v>
      </c>
      <c r="CQ13" s="14">
        <f t="shared" si="38"/>
        <v>83712</v>
      </c>
      <c r="CR13" s="3">
        <f t="shared" si="35"/>
        <v>3515</v>
      </c>
      <c r="CS13" s="41">
        <f t="shared" si="36"/>
        <v>87227</v>
      </c>
      <c r="CT13" s="14">
        <v>0</v>
      </c>
      <c r="CU13" s="14">
        <v>0</v>
      </c>
      <c r="CV13" s="14">
        <v>0</v>
      </c>
      <c r="CW13" s="14">
        <v>0</v>
      </c>
      <c r="CX13" s="14">
        <v>84000</v>
      </c>
    </row>
    <row r="14" spans="1:102">
      <c r="A14" s="3">
        <v>12</v>
      </c>
      <c r="B14" s="5" t="s">
        <v>31</v>
      </c>
      <c r="C14" s="10">
        <v>94101</v>
      </c>
      <c r="D14" s="6">
        <f t="shared" si="0"/>
        <v>4529</v>
      </c>
      <c r="E14" s="6">
        <f t="shared" si="1"/>
        <v>471</v>
      </c>
      <c r="F14" s="6">
        <v>500</v>
      </c>
      <c r="G14" s="6">
        <v>0</v>
      </c>
      <c r="H14" s="6">
        <v>5500</v>
      </c>
      <c r="I14" s="21"/>
      <c r="J14" s="21">
        <f t="shared" si="2"/>
        <v>89572</v>
      </c>
      <c r="K14" s="6">
        <f t="shared" si="3"/>
        <v>0</v>
      </c>
      <c r="L14" s="6">
        <f t="shared" si="37"/>
        <v>448</v>
      </c>
      <c r="M14" s="6">
        <v>500</v>
      </c>
      <c r="N14" s="6">
        <v>0</v>
      </c>
      <c r="O14" s="6">
        <v>948</v>
      </c>
      <c r="P14" s="6">
        <v>948</v>
      </c>
      <c r="Q14" s="21">
        <f t="shared" si="4"/>
        <v>90520</v>
      </c>
      <c r="R14" s="6">
        <f t="shared" si="5"/>
        <v>4547</v>
      </c>
      <c r="S14" s="6">
        <f t="shared" si="6"/>
        <v>453</v>
      </c>
      <c r="T14" s="6">
        <v>500</v>
      </c>
      <c r="U14" s="6">
        <v>0</v>
      </c>
      <c r="V14" s="6">
        <v>5500</v>
      </c>
      <c r="W14" s="6"/>
      <c r="X14" s="21">
        <f t="shared" si="7"/>
        <v>85973</v>
      </c>
      <c r="Y14" s="6">
        <f t="shared" si="8"/>
        <v>4570</v>
      </c>
      <c r="Z14" s="6">
        <f t="shared" si="9"/>
        <v>430</v>
      </c>
      <c r="AA14" s="6">
        <v>500</v>
      </c>
      <c r="AB14" s="6">
        <v>0</v>
      </c>
      <c r="AC14" s="6">
        <v>5500</v>
      </c>
      <c r="AD14" s="6"/>
      <c r="AE14" s="21">
        <f t="shared" si="10"/>
        <v>81403</v>
      </c>
      <c r="AF14" s="6">
        <f t="shared" si="11"/>
        <v>4593</v>
      </c>
      <c r="AG14" s="6">
        <f t="shared" si="12"/>
        <v>407</v>
      </c>
      <c r="AH14" s="6">
        <v>500</v>
      </c>
      <c r="AI14" s="6">
        <v>0</v>
      </c>
      <c r="AJ14" s="6">
        <v>5500</v>
      </c>
      <c r="AK14" s="6"/>
      <c r="AL14" s="21">
        <f t="shared" si="13"/>
        <v>76810</v>
      </c>
      <c r="AM14" s="6">
        <f t="shared" si="14"/>
        <v>4616</v>
      </c>
      <c r="AN14" s="6">
        <f t="shared" si="15"/>
        <v>384</v>
      </c>
      <c r="AO14" s="6">
        <v>500</v>
      </c>
      <c r="AP14" s="6"/>
      <c r="AQ14" s="6">
        <v>5500</v>
      </c>
      <c r="AR14" s="6"/>
      <c r="AS14" s="6"/>
      <c r="AU14" s="21">
        <f t="shared" si="16"/>
        <v>72194</v>
      </c>
      <c r="AV14" s="6">
        <f t="shared" si="17"/>
        <v>0</v>
      </c>
      <c r="AW14" s="6">
        <f t="shared" si="18"/>
        <v>361</v>
      </c>
      <c r="AX14" s="6">
        <v>500</v>
      </c>
      <c r="AY14" s="6"/>
      <c r="AZ14" s="6">
        <v>861</v>
      </c>
      <c r="BA14" s="6">
        <v>861</v>
      </c>
      <c r="BB14" s="21">
        <f t="shared" si="19"/>
        <v>73055</v>
      </c>
      <c r="BC14" s="6">
        <f t="shared" si="20"/>
        <v>0</v>
      </c>
      <c r="BD14" s="6">
        <f t="shared" si="21"/>
        <v>365</v>
      </c>
      <c r="BE14" s="6">
        <v>500</v>
      </c>
      <c r="BF14" s="6">
        <v>1000</v>
      </c>
      <c r="BG14" s="6">
        <v>1865</v>
      </c>
      <c r="BH14" s="6">
        <v>1865</v>
      </c>
      <c r="BI14" s="21">
        <f t="shared" si="22"/>
        <v>74920</v>
      </c>
      <c r="BJ14" s="6">
        <f t="shared" si="23"/>
        <v>5125</v>
      </c>
      <c r="BK14" s="6">
        <f t="shared" si="24"/>
        <v>375</v>
      </c>
      <c r="BL14" s="6">
        <v>500</v>
      </c>
      <c r="BM14" s="6">
        <v>1000</v>
      </c>
      <c r="BN14" s="6">
        <v>7000</v>
      </c>
      <c r="BO14" s="6"/>
      <c r="BP14" s="21">
        <f t="shared" si="25"/>
        <v>69795</v>
      </c>
      <c r="BQ14" s="6">
        <f t="shared" si="26"/>
        <v>4651</v>
      </c>
      <c r="BR14" s="6">
        <f t="shared" si="27"/>
        <v>349</v>
      </c>
      <c r="BS14" s="6">
        <v>500</v>
      </c>
      <c r="BT14" s="6">
        <v>1000</v>
      </c>
      <c r="BU14" s="6">
        <v>6500</v>
      </c>
      <c r="BV14" s="6"/>
      <c r="BW14" s="21">
        <f t="shared" si="28"/>
        <v>65144</v>
      </c>
      <c r="BX14" s="6">
        <f t="shared" si="29"/>
        <v>0</v>
      </c>
      <c r="BY14" s="6">
        <f t="shared" si="30"/>
        <v>326</v>
      </c>
      <c r="BZ14" s="6">
        <v>500</v>
      </c>
      <c r="CA14" s="6">
        <v>1000</v>
      </c>
      <c r="CB14" s="21">
        <v>1826</v>
      </c>
      <c r="CC14" s="6">
        <v>1826</v>
      </c>
      <c r="CD14" s="21">
        <f t="shared" si="31"/>
        <v>66970</v>
      </c>
      <c r="CE14" s="6">
        <f t="shared" si="32"/>
        <v>4665</v>
      </c>
      <c r="CF14" s="6">
        <f t="shared" si="33"/>
        <v>335</v>
      </c>
      <c r="CG14" s="6">
        <v>500</v>
      </c>
      <c r="CH14" s="6">
        <v>1000</v>
      </c>
      <c r="CI14" s="6">
        <v>6500</v>
      </c>
      <c r="CJ14" s="6"/>
      <c r="CK14" s="5" t="s">
        <v>31</v>
      </c>
      <c r="CL14" s="14">
        <f t="shared" si="34"/>
        <v>62305</v>
      </c>
      <c r="CM14" s="14">
        <v>112486</v>
      </c>
      <c r="CN14" s="14">
        <v>5000</v>
      </c>
      <c r="CO14" s="14"/>
      <c r="CP14" s="3">
        <v>30324</v>
      </c>
      <c r="CQ14" s="14">
        <f t="shared" si="38"/>
        <v>36324</v>
      </c>
      <c r="CR14" s="3">
        <f t="shared" si="35"/>
        <v>1525</v>
      </c>
      <c r="CS14" s="41">
        <f t="shared" si="36"/>
        <v>37849</v>
      </c>
      <c r="CT14" s="14">
        <v>36309</v>
      </c>
      <c r="CU14" s="14">
        <v>6296</v>
      </c>
      <c r="CV14" s="14">
        <v>10555</v>
      </c>
      <c r="CW14" s="14">
        <v>86790</v>
      </c>
      <c r="CX14" s="14">
        <v>12000</v>
      </c>
    </row>
    <row r="15" spans="1:102">
      <c r="A15" s="3">
        <v>13</v>
      </c>
      <c r="B15" s="5" t="s">
        <v>32</v>
      </c>
      <c r="C15" s="10">
        <v>109812</v>
      </c>
      <c r="D15" s="6">
        <f t="shared" si="0"/>
        <v>5451</v>
      </c>
      <c r="E15" s="6">
        <f t="shared" si="1"/>
        <v>549</v>
      </c>
      <c r="F15" s="6">
        <v>500</v>
      </c>
      <c r="G15" s="6">
        <v>0</v>
      </c>
      <c r="H15" s="6">
        <v>6500</v>
      </c>
      <c r="I15" s="21">
        <v>0</v>
      </c>
      <c r="J15" s="21">
        <f t="shared" si="2"/>
        <v>104361</v>
      </c>
      <c r="K15" s="6">
        <f t="shared" si="3"/>
        <v>4978</v>
      </c>
      <c r="L15" s="6">
        <f t="shared" si="37"/>
        <v>522</v>
      </c>
      <c r="M15" s="6">
        <v>500</v>
      </c>
      <c r="N15" s="6">
        <v>0</v>
      </c>
      <c r="O15" s="6">
        <v>6000</v>
      </c>
      <c r="P15" s="6"/>
      <c r="Q15" s="21">
        <f t="shared" si="4"/>
        <v>99383</v>
      </c>
      <c r="R15" s="6">
        <f t="shared" si="5"/>
        <v>4003</v>
      </c>
      <c r="S15" s="6">
        <f t="shared" si="6"/>
        <v>497</v>
      </c>
      <c r="T15" s="6">
        <v>500</v>
      </c>
      <c r="U15" s="6">
        <v>0</v>
      </c>
      <c r="V15" s="6">
        <v>5000</v>
      </c>
      <c r="W15" s="6"/>
      <c r="X15" s="21">
        <f t="shared" si="7"/>
        <v>95380</v>
      </c>
      <c r="Y15" s="6">
        <f t="shared" si="8"/>
        <v>6023</v>
      </c>
      <c r="Z15" s="6">
        <f t="shared" si="9"/>
        <v>477</v>
      </c>
      <c r="AA15" s="6">
        <v>500</v>
      </c>
      <c r="AB15" s="6">
        <v>0</v>
      </c>
      <c r="AC15" s="6">
        <v>7000</v>
      </c>
      <c r="AD15" s="6"/>
      <c r="AE15" s="21">
        <f t="shared" si="10"/>
        <v>89357</v>
      </c>
      <c r="AF15" s="6">
        <f t="shared" si="11"/>
        <v>5053</v>
      </c>
      <c r="AG15" s="6">
        <f t="shared" si="12"/>
        <v>447</v>
      </c>
      <c r="AH15" s="6">
        <v>500</v>
      </c>
      <c r="AI15" s="6">
        <v>0</v>
      </c>
      <c r="AJ15" s="6">
        <v>6000</v>
      </c>
      <c r="AK15" s="6"/>
      <c r="AL15" s="21">
        <f t="shared" si="13"/>
        <v>84304</v>
      </c>
      <c r="AM15" s="6">
        <f t="shared" si="14"/>
        <v>5078</v>
      </c>
      <c r="AN15" s="6">
        <f t="shared" si="15"/>
        <v>422</v>
      </c>
      <c r="AO15" s="6">
        <v>500</v>
      </c>
      <c r="AP15" s="6"/>
      <c r="AQ15" s="6">
        <v>6000</v>
      </c>
      <c r="AR15" s="6"/>
      <c r="AS15" s="6"/>
      <c r="AU15" s="21">
        <f t="shared" si="16"/>
        <v>79226</v>
      </c>
      <c r="AV15" s="6">
        <f t="shared" si="17"/>
        <v>66</v>
      </c>
      <c r="AW15" s="6">
        <f t="shared" si="18"/>
        <v>396</v>
      </c>
      <c r="AX15" s="6">
        <v>500</v>
      </c>
      <c r="AY15" s="6"/>
      <c r="AZ15" s="6">
        <v>962</v>
      </c>
      <c r="BA15" s="6">
        <v>962</v>
      </c>
      <c r="BB15" s="21">
        <f t="shared" si="19"/>
        <v>80122</v>
      </c>
      <c r="BC15" s="6">
        <f t="shared" si="20"/>
        <v>5099</v>
      </c>
      <c r="BD15" s="6">
        <f t="shared" si="21"/>
        <v>401</v>
      </c>
      <c r="BE15" s="6">
        <v>500</v>
      </c>
      <c r="BF15" s="6">
        <v>1000</v>
      </c>
      <c r="BG15" s="6">
        <v>7000</v>
      </c>
      <c r="BH15" s="6"/>
      <c r="BI15" s="21">
        <f t="shared" si="22"/>
        <v>75023</v>
      </c>
      <c r="BJ15" s="6">
        <f t="shared" si="23"/>
        <v>5050</v>
      </c>
      <c r="BK15" s="6">
        <f t="shared" si="24"/>
        <v>375</v>
      </c>
      <c r="BL15" s="6">
        <v>500</v>
      </c>
      <c r="BM15" s="6">
        <v>1000</v>
      </c>
      <c r="BN15" s="6">
        <v>6925</v>
      </c>
      <c r="BO15" s="6"/>
      <c r="BP15" s="21">
        <f t="shared" si="25"/>
        <v>69973</v>
      </c>
      <c r="BQ15" s="6">
        <f t="shared" si="26"/>
        <v>5150</v>
      </c>
      <c r="BR15" s="6">
        <f t="shared" si="27"/>
        <v>350</v>
      </c>
      <c r="BS15" s="6">
        <v>500</v>
      </c>
      <c r="BT15" s="6">
        <v>1000</v>
      </c>
      <c r="BU15" s="6">
        <v>7000</v>
      </c>
      <c r="BV15" s="6"/>
      <c r="BW15" s="21">
        <f t="shared" si="28"/>
        <v>64823</v>
      </c>
      <c r="BX15" s="6">
        <f t="shared" si="29"/>
        <v>5176</v>
      </c>
      <c r="BY15" s="6">
        <f t="shared" si="30"/>
        <v>324</v>
      </c>
      <c r="BZ15" s="6">
        <v>500</v>
      </c>
      <c r="CA15" s="6">
        <v>1000</v>
      </c>
      <c r="CB15" s="6">
        <v>7000</v>
      </c>
      <c r="CC15" s="6">
        <v>0</v>
      </c>
      <c r="CD15" s="21">
        <f t="shared" si="31"/>
        <v>59647</v>
      </c>
      <c r="CE15" s="6">
        <f t="shared" si="32"/>
        <v>4202</v>
      </c>
      <c r="CF15" s="6">
        <f t="shared" si="33"/>
        <v>298</v>
      </c>
      <c r="CG15" s="6">
        <v>500</v>
      </c>
      <c r="CH15" s="6">
        <v>1000</v>
      </c>
      <c r="CI15" s="6">
        <v>6000</v>
      </c>
      <c r="CJ15" s="6"/>
      <c r="CK15" s="5" t="s">
        <v>32</v>
      </c>
      <c r="CL15" s="14">
        <f t="shared" si="34"/>
        <v>55445</v>
      </c>
      <c r="CM15" s="14">
        <v>109188</v>
      </c>
      <c r="CN15" s="14">
        <v>0</v>
      </c>
      <c r="CO15" s="14">
        <v>10000</v>
      </c>
      <c r="CP15" s="3">
        <v>32237</v>
      </c>
      <c r="CQ15" s="14">
        <f t="shared" si="38"/>
        <v>38237</v>
      </c>
      <c r="CR15" s="3">
        <f t="shared" si="35"/>
        <v>1606</v>
      </c>
      <c r="CS15" s="41">
        <f t="shared" si="36"/>
        <v>39843</v>
      </c>
      <c r="CT15" s="14">
        <v>38804</v>
      </c>
      <c r="CU15" s="14">
        <v>5752</v>
      </c>
      <c r="CV15" s="14">
        <v>6956</v>
      </c>
      <c r="CW15" s="14">
        <v>77392</v>
      </c>
      <c r="CX15" s="14">
        <v>12000</v>
      </c>
    </row>
    <row r="16" spans="1:102">
      <c r="A16" s="3">
        <v>14</v>
      </c>
      <c r="B16" s="5" t="s">
        <v>33</v>
      </c>
      <c r="C16" s="10">
        <v>9050</v>
      </c>
      <c r="D16" s="6">
        <f t="shared" si="0"/>
        <v>955</v>
      </c>
      <c r="E16" s="6">
        <f t="shared" si="1"/>
        <v>45</v>
      </c>
      <c r="F16" s="6">
        <v>500</v>
      </c>
      <c r="G16" s="6">
        <v>500</v>
      </c>
      <c r="H16" s="6">
        <v>2000</v>
      </c>
      <c r="I16" s="21">
        <v>20000</v>
      </c>
      <c r="J16" s="21">
        <f t="shared" si="2"/>
        <v>28095</v>
      </c>
      <c r="K16" s="6">
        <f t="shared" si="3"/>
        <v>1860</v>
      </c>
      <c r="L16" s="6">
        <f t="shared" si="37"/>
        <v>140</v>
      </c>
      <c r="M16" s="6">
        <v>500</v>
      </c>
      <c r="N16" s="6">
        <v>500</v>
      </c>
      <c r="O16" s="6">
        <v>3000</v>
      </c>
      <c r="P16" s="6"/>
      <c r="Q16" s="21">
        <f t="shared" si="4"/>
        <v>26235</v>
      </c>
      <c r="R16" s="6">
        <f t="shared" si="5"/>
        <v>1869</v>
      </c>
      <c r="S16" s="6">
        <f t="shared" si="6"/>
        <v>131</v>
      </c>
      <c r="T16" s="6">
        <v>500</v>
      </c>
      <c r="U16" s="6">
        <v>500</v>
      </c>
      <c r="V16" s="6">
        <v>3000</v>
      </c>
      <c r="W16" s="6"/>
      <c r="X16" s="21">
        <f t="shared" si="7"/>
        <v>24366</v>
      </c>
      <c r="Y16" s="6">
        <f t="shared" si="8"/>
        <v>1878</v>
      </c>
      <c r="Z16" s="6">
        <f t="shared" si="9"/>
        <v>122</v>
      </c>
      <c r="AA16" s="6">
        <v>500</v>
      </c>
      <c r="AB16" s="6">
        <v>500</v>
      </c>
      <c r="AC16" s="6">
        <v>3000</v>
      </c>
      <c r="AD16" s="6"/>
      <c r="AE16" s="21">
        <f t="shared" si="10"/>
        <v>22488</v>
      </c>
      <c r="AF16" s="6">
        <f t="shared" si="11"/>
        <v>1888</v>
      </c>
      <c r="AG16" s="6">
        <f t="shared" si="12"/>
        <v>112</v>
      </c>
      <c r="AH16" s="6">
        <v>500</v>
      </c>
      <c r="AI16" s="6">
        <v>500</v>
      </c>
      <c r="AJ16" s="6">
        <v>3000</v>
      </c>
      <c r="AK16" s="6"/>
      <c r="AL16" s="21">
        <f t="shared" si="13"/>
        <v>20600</v>
      </c>
      <c r="AM16" s="6">
        <f t="shared" si="14"/>
        <v>9397</v>
      </c>
      <c r="AN16" s="6">
        <f t="shared" si="15"/>
        <v>103</v>
      </c>
      <c r="AO16" s="6">
        <v>500</v>
      </c>
      <c r="AP16" s="6"/>
      <c r="AQ16" s="6">
        <v>10000</v>
      </c>
      <c r="AR16" s="6"/>
      <c r="AS16" s="6"/>
      <c r="AU16" s="21">
        <f t="shared" si="16"/>
        <v>11203</v>
      </c>
      <c r="AV16" s="6">
        <f t="shared" si="17"/>
        <v>2444</v>
      </c>
      <c r="AW16" s="6">
        <f t="shared" si="18"/>
        <v>56</v>
      </c>
      <c r="AX16" s="6">
        <v>500</v>
      </c>
      <c r="AY16" s="6"/>
      <c r="AZ16" s="6">
        <v>3000</v>
      </c>
      <c r="BA16" s="6"/>
      <c r="BB16" s="21">
        <f t="shared" si="19"/>
        <v>8759</v>
      </c>
      <c r="BC16" s="6">
        <f t="shared" si="20"/>
        <v>2456</v>
      </c>
      <c r="BD16" s="6">
        <f t="shared" si="21"/>
        <v>44</v>
      </c>
      <c r="BE16" s="6">
        <v>500</v>
      </c>
      <c r="BF16" s="6">
        <v>1000</v>
      </c>
      <c r="BG16" s="6">
        <v>4000</v>
      </c>
      <c r="BH16" s="6"/>
      <c r="BI16" s="21">
        <f t="shared" si="22"/>
        <v>6303</v>
      </c>
      <c r="BJ16" s="6">
        <f t="shared" si="23"/>
        <v>1968</v>
      </c>
      <c r="BK16" s="6">
        <f t="shared" si="24"/>
        <v>32</v>
      </c>
      <c r="BL16" s="6">
        <v>500</v>
      </c>
      <c r="BM16" s="6">
        <v>1000</v>
      </c>
      <c r="BN16" s="6">
        <v>3500</v>
      </c>
      <c r="BO16" s="6">
        <v>0</v>
      </c>
      <c r="BP16" s="21">
        <f t="shared" si="25"/>
        <v>4335</v>
      </c>
      <c r="BQ16" s="6">
        <f t="shared" si="26"/>
        <v>4335</v>
      </c>
      <c r="BR16" s="6">
        <f t="shared" si="27"/>
        <v>22</v>
      </c>
      <c r="BS16" s="6">
        <v>543</v>
      </c>
      <c r="BT16" s="6">
        <v>1000</v>
      </c>
      <c r="BU16" s="6">
        <v>5900</v>
      </c>
      <c r="BV16" s="6">
        <v>190000</v>
      </c>
      <c r="BW16" s="21">
        <f t="shared" si="28"/>
        <v>190000</v>
      </c>
      <c r="BX16" s="6">
        <f t="shared" si="29"/>
        <v>14050</v>
      </c>
      <c r="BY16" s="6">
        <f t="shared" si="30"/>
        <v>950</v>
      </c>
      <c r="BZ16" s="6">
        <v>500</v>
      </c>
      <c r="CA16" s="6">
        <v>1000</v>
      </c>
      <c r="CB16" s="6">
        <v>16500</v>
      </c>
      <c r="CC16" s="6"/>
      <c r="CD16" s="21">
        <f t="shared" si="31"/>
        <v>175950</v>
      </c>
      <c r="CE16" s="6">
        <f t="shared" si="32"/>
        <v>14120</v>
      </c>
      <c r="CF16" s="6">
        <f t="shared" si="33"/>
        <v>880</v>
      </c>
      <c r="CG16" s="6">
        <v>500</v>
      </c>
      <c r="CH16" s="6">
        <v>1000</v>
      </c>
      <c r="CI16" s="6">
        <v>16500</v>
      </c>
      <c r="CJ16" s="6"/>
      <c r="CK16" s="5" t="s">
        <v>33</v>
      </c>
      <c r="CL16" s="14">
        <f t="shared" si="34"/>
        <v>161830</v>
      </c>
      <c r="CM16" s="14">
        <v>56114</v>
      </c>
      <c r="CN16" s="14">
        <v>5000</v>
      </c>
      <c r="CO16" s="14">
        <v>5000</v>
      </c>
      <c r="CP16" s="3">
        <v>27230</v>
      </c>
      <c r="CQ16" s="14">
        <f t="shared" si="38"/>
        <v>33273</v>
      </c>
      <c r="CR16" s="3">
        <f t="shared" si="35"/>
        <v>1397</v>
      </c>
      <c r="CS16" s="41">
        <f t="shared" si="36"/>
        <v>34670</v>
      </c>
      <c r="CT16" s="14">
        <v>25172</v>
      </c>
      <c r="CU16" s="14">
        <v>1927</v>
      </c>
      <c r="CV16" s="14">
        <v>52099</v>
      </c>
      <c r="CW16" s="14">
        <v>71939</v>
      </c>
      <c r="CX16" s="14">
        <v>12000</v>
      </c>
    </row>
    <row r="17" spans="1:102">
      <c r="A17" s="3">
        <v>15</v>
      </c>
      <c r="B17" s="5" t="s">
        <v>34</v>
      </c>
      <c r="C17" s="10">
        <v>0</v>
      </c>
      <c r="D17" s="6">
        <f t="shared" si="0"/>
        <v>0</v>
      </c>
      <c r="E17" s="6">
        <f t="shared" si="1"/>
        <v>0</v>
      </c>
      <c r="F17" s="6">
        <v>500</v>
      </c>
      <c r="G17" s="6">
        <v>0</v>
      </c>
      <c r="H17" s="6">
        <v>500</v>
      </c>
      <c r="I17" s="21"/>
      <c r="J17" s="21">
        <f t="shared" si="2"/>
        <v>0</v>
      </c>
      <c r="K17" s="6">
        <f t="shared" si="3"/>
        <v>0</v>
      </c>
      <c r="L17" s="6">
        <f t="shared" si="37"/>
        <v>0</v>
      </c>
      <c r="M17" s="6">
        <v>500</v>
      </c>
      <c r="N17" s="6">
        <v>0</v>
      </c>
      <c r="O17" s="6">
        <v>500</v>
      </c>
      <c r="P17" s="6"/>
      <c r="Q17" s="21">
        <f t="shared" si="4"/>
        <v>0</v>
      </c>
      <c r="R17" s="6">
        <f t="shared" si="5"/>
        <v>0</v>
      </c>
      <c r="S17" s="6">
        <f t="shared" si="6"/>
        <v>0</v>
      </c>
      <c r="T17" s="6">
        <v>500</v>
      </c>
      <c r="U17" s="6">
        <v>0</v>
      </c>
      <c r="V17" s="6">
        <v>500</v>
      </c>
      <c r="W17" s="6"/>
      <c r="X17" s="21">
        <f t="shared" si="7"/>
        <v>0</v>
      </c>
      <c r="Y17" s="6">
        <f t="shared" si="8"/>
        <v>0</v>
      </c>
      <c r="Z17" s="6">
        <f t="shared" si="9"/>
        <v>0</v>
      </c>
      <c r="AA17" s="6">
        <v>500</v>
      </c>
      <c r="AB17" s="6">
        <v>0</v>
      </c>
      <c r="AC17" s="6">
        <v>500</v>
      </c>
      <c r="AD17" s="6"/>
      <c r="AE17" s="21">
        <f t="shared" si="10"/>
        <v>0</v>
      </c>
      <c r="AF17" s="6">
        <f t="shared" si="11"/>
        <v>0</v>
      </c>
      <c r="AG17" s="6">
        <f t="shared" si="12"/>
        <v>0</v>
      </c>
      <c r="AH17" s="6">
        <v>500</v>
      </c>
      <c r="AI17" s="6">
        <v>0</v>
      </c>
      <c r="AJ17" s="6">
        <v>500</v>
      </c>
      <c r="AK17" s="6"/>
      <c r="AL17" s="21">
        <f t="shared" si="13"/>
        <v>0</v>
      </c>
      <c r="AM17" s="6">
        <f t="shared" si="14"/>
        <v>0</v>
      </c>
      <c r="AN17" s="6">
        <f t="shared" si="15"/>
        <v>0</v>
      </c>
      <c r="AO17" s="6">
        <v>500</v>
      </c>
      <c r="AP17" s="6"/>
      <c r="AQ17" s="6">
        <v>500</v>
      </c>
      <c r="AR17" s="6"/>
      <c r="AS17" s="6"/>
      <c r="AU17" s="21">
        <f t="shared" si="16"/>
        <v>0</v>
      </c>
      <c r="AV17" s="6">
        <f t="shared" si="17"/>
        <v>0</v>
      </c>
      <c r="AW17" s="6">
        <f t="shared" si="18"/>
        <v>0</v>
      </c>
      <c r="AX17" s="6">
        <v>500</v>
      </c>
      <c r="AY17" s="6"/>
      <c r="AZ17" s="6">
        <v>500</v>
      </c>
      <c r="BA17" s="6"/>
      <c r="BB17" s="21">
        <f t="shared" si="19"/>
        <v>0</v>
      </c>
      <c r="BC17" s="6">
        <f t="shared" si="20"/>
        <v>0</v>
      </c>
      <c r="BD17" s="6">
        <f t="shared" si="21"/>
        <v>0</v>
      </c>
      <c r="BE17" s="6">
        <v>500</v>
      </c>
      <c r="BF17" s="6">
        <v>0</v>
      </c>
      <c r="BG17" s="6">
        <v>500</v>
      </c>
      <c r="BH17" s="6"/>
      <c r="BI17" s="21">
        <f t="shared" si="22"/>
        <v>0</v>
      </c>
      <c r="BJ17" s="6">
        <f t="shared" si="23"/>
        <v>0</v>
      </c>
      <c r="BK17" s="6">
        <f t="shared" si="24"/>
        <v>0</v>
      </c>
      <c r="BL17" s="6">
        <v>500</v>
      </c>
      <c r="BM17" s="6">
        <v>0</v>
      </c>
      <c r="BN17" s="6">
        <v>500</v>
      </c>
      <c r="BO17" s="6"/>
      <c r="BP17" s="21">
        <f t="shared" si="25"/>
        <v>0</v>
      </c>
      <c r="BQ17" s="6">
        <f t="shared" si="26"/>
        <v>0</v>
      </c>
      <c r="BR17" s="6">
        <f t="shared" si="27"/>
        <v>0</v>
      </c>
      <c r="BS17" s="6">
        <v>500</v>
      </c>
      <c r="BT17" s="6">
        <v>0</v>
      </c>
      <c r="BU17" s="6">
        <v>500</v>
      </c>
      <c r="BV17" s="6"/>
      <c r="BW17" s="21">
        <f t="shared" si="28"/>
        <v>0</v>
      </c>
      <c r="BX17" s="6">
        <f t="shared" si="29"/>
        <v>0</v>
      </c>
      <c r="BY17" s="6">
        <f t="shared" si="30"/>
        <v>0</v>
      </c>
      <c r="BZ17" s="6">
        <v>500</v>
      </c>
      <c r="CA17" s="6">
        <v>0</v>
      </c>
      <c r="CB17" s="6">
        <v>500</v>
      </c>
      <c r="CC17" s="6"/>
      <c r="CD17" s="21">
        <f t="shared" si="31"/>
        <v>0</v>
      </c>
      <c r="CE17" s="6">
        <f t="shared" si="32"/>
        <v>0</v>
      </c>
      <c r="CF17" s="6">
        <f t="shared" si="33"/>
        <v>0</v>
      </c>
      <c r="CG17" s="6">
        <v>500</v>
      </c>
      <c r="CH17" s="6">
        <v>0</v>
      </c>
      <c r="CI17" s="6">
        <v>500</v>
      </c>
      <c r="CJ17" s="6"/>
      <c r="CK17" s="5" t="s">
        <v>34</v>
      </c>
      <c r="CL17" s="14">
        <f t="shared" si="34"/>
        <v>0</v>
      </c>
      <c r="CM17" s="14">
        <v>40476</v>
      </c>
      <c r="CN17" s="14">
        <v>5000</v>
      </c>
      <c r="CO17" s="14">
        <v>5000</v>
      </c>
      <c r="CP17" s="3">
        <v>12977</v>
      </c>
      <c r="CQ17" s="14">
        <f t="shared" si="38"/>
        <v>18977</v>
      </c>
      <c r="CR17" s="3">
        <f t="shared" si="35"/>
        <v>797</v>
      </c>
      <c r="CS17" s="41">
        <f t="shared" si="36"/>
        <v>19774</v>
      </c>
      <c r="CT17" s="14">
        <v>40482</v>
      </c>
      <c r="CU17" s="14">
        <v>970</v>
      </c>
      <c r="CV17" s="14">
        <v>0</v>
      </c>
      <c r="CW17" s="14">
        <v>0</v>
      </c>
      <c r="CX17" s="14">
        <v>13248</v>
      </c>
    </row>
    <row r="18" spans="1:102">
      <c r="A18" s="3">
        <v>16</v>
      </c>
      <c r="B18" s="5" t="s">
        <v>35</v>
      </c>
      <c r="C18" s="10">
        <v>0</v>
      </c>
      <c r="D18" s="6">
        <f t="shared" si="0"/>
        <v>0</v>
      </c>
      <c r="E18" s="6">
        <f t="shared" si="1"/>
        <v>0</v>
      </c>
      <c r="F18" s="6">
        <v>1000</v>
      </c>
      <c r="G18" s="6"/>
      <c r="H18" s="6">
        <v>1000</v>
      </c>
      <c r="I18" s="21"/>
      <c r="J18" s="21">
        <f t="shared" si="2"/>
        <v>0</v>
      </c>
      <c r="K18" s="6">
        <f t="shared" si="3"/>
        <v>0</v>
      </c>
      <c r="L18" s="6">
        <f t="shared" si="37"/>
        <v>0</v>
      </c>
      <c r="M18" s="6">
        <v>1000</v>
      </c>
      <c r="N18" s="6"/>
      <c r="O18" s="6">
        <v>1000</v>
      </c>
      <c r="P18" s="6"/>
      <c r="Q18" s="21">
        <f t="shared" si="4"/>
        <v>0</v>
      </c>
      <c r="R18" s="6">
        <f t="shared" si="5"/>
        <v>0</v>
      </c>
      <c r="S18" s="6">
        <f t="shared" si="6"/>
        <v>0</v>
      </c>
      <c r="T18" s="6">
        <v>1000</v>
      </c>
      <c r="U18" s="6"/>
      <c r="V18" s="6">
        <v>1000</v>
      </c>
      <c r="W18" s="6"/>
      <c r="X18" s="21">
        <f t="shared" si="7"/>
        <v>0</v>
      </c>
      <c r="Y18" s="6">
        <f t="shared" si="8"/>
        <v>0</v>
      </c>
      <c r="Z18" s="6">
        <f t="shared" si="9"/>
        <v>0</v>
      </c>
      <c r="AA18" s="6">
        <v>1000</v>
      </c>
      <c r="AB18" s="6">
        <v>0</v>
      </c>
      <c r="AC18" s="6">
        <v>1000</v>
      </c>
      <c r="AD18" s="6"/>
      <c r="AE18" s="21">
        <f t="shared" si="10"/>
        <v>0</v>
      </c>
      <c r="AF18" s="6">
        <f t="shared" si="11"/>
        <v>0</v>
      </c>
      <c r="AG18" s="6">
        <f t="shared" si="12"/>
        <v>0</v>
      </c>
      <c r="AH18" s="6">
        <v>1000</v>
      </c>
      <c r="AI18" s="6">
        <v>0</v>
      </c>
      <c r="AJ18" s="6">
        <v>1000</v>
      </c>
      <c r="AK18" s="6"/>
      <c r="AL18" s="21">
        <f t="shared" si="13"/>
        <v>0</v>
      </c>
      <c r="AM18" s="6">
        <f t="shared" si="14"/>
        <v>0</v>
      </c>
      <c r="AN18" s="6">
        <f t="shared" si="15"/>
        <v>0</v>
      </c>
      <c r="AO18" s="6">
        <v>1000</v>
      </c>
      <c r="AP18" s="6"/>
      <c r="AQ18" s="6">
        <v>1000</v>
      </c>
      <c r="AR18" s="6"/>
      <c r="AS18" s="6"/>
      <c r="AU18" s="21">
        <f t="shared" si="16"/>
        <v>0</v>
      </c>
      <c r="AV18" s="6">
        <f t="shared" si="17"/>
        <v>0</v>
      </c>
      <c r="AW18" s="6">
        <f t="shared" si="18"/>
        <v>0</v>
      </c>
      <c r="AX18" s="6">
        <v>1000</v>
      </c>
      <c r="AY18" s="6"/>
      <c r="AZ18" s="6">
        <v>1000</v>
      </c>
      <c r="BA18" s="6"/>
      <c r="BB18" s="21">
        <f t="shared" si="19"/>
        <v>0</v>
      </c>
      <c r="BC18" s="6">
        <f t="shared" si="20"/>
        <v>0</v>
      </c>
      <c r="BD18" s="6">
        <f t="shared" si="21"/>
        <v>0</v>
      </c>
      <c r="BE18" s="6">
        <v>1000</v>
      </c>
      <c r="BF18" s="6">
        <v>0</v>
      </c>
      <c r="BG18" s="6">
        <v>1000</v>
      </c>
      <c r="BH18" s="6"/>
      <c r="BI18" s="21">
        <f t="shared" si="22"/>
        <v>0</v>
      </c>
      <c r="BJ18" s="6">
        <f t="shared" si="23"/>
        <v>0</v>
      </c>
      <c r="BK18" s="6">
        <f t="shared" si="24"/>
        <v>0</v>
      </c>
      <c r="BL18" s="6">
        <v>1000</v>
      </c>
      <c r="BM18" s="6">
        <v>0</v>
      </c>
      <c r="BN18" s="6">
        <v>1000</v>
      </c>
      <c r="BO18" s="6"/>
      <c r="BP18" s="21">
        <f t="shared" si="25"/>
        <v>0</v>
      </c>
      <c r="BQ18" s="6">
        <f t="shared" si="26"/>
        <v>0</v>
      </c>
      <c r="BR18" s="6">
        <f t="shared" si="27"/>
        <v>0</v>
      </c>
      <c r="BS18" s="6">
        <v>1000</v>
      </c>
      <c r="BT18" s="6">
        <v>0</v>
      </c>
      <c r="BU18" s="6">
        <v>1000</v>
      </c>
      <c r="BV18" s="6"/>
      <c r="BW18" s="21">
        <f t="shared" si="28"/>
        <v>0</v>
      </c>
      <c r="BX18" s="6">
        <f t="shared" si="29"/>
        <v>0</v>
      </c>
      <c r="BY18" s="6">
        <f t="shared" si="30"/>
        <v>0</v>
      </c>
      <c r="BZ18" s="6">
        <v>1000</v>
      </c>
      <c r="CA18" s="6">
        <v>0</v>
      </c>
      <c r="CB18" s="6">
        <v>1000</v>
      </c>
      <c r="CC18" s="6"/>
      <c r="CD18" s="21">
        <f t="shared" si="31"/>
        <v>0</v>
      </c>
      <c r="CE18" s="6">
        <f t="shared" si="32"/>
        <v>0</v>
      </c>
      <c r="CF18" s="6">
        <f t="shared" si="33"/>
        <v>0</v>
      </c>
      <c r="CG18" s="6">
        <v>1000</v>
      </c>
      <c r="CH18" s="6">
        <v>0</v>
      </c>
      <c r="CI18" s="6">
        <v>1000</v>
      </c>
      <c r="CJ18" s="6"/>
      <c r="CK18" s="5" t="s">
        <v>35</v>
      </c>
      <c r="CL18" s="14">
        <f t="shared" si="34"/>
        <v>0</v>
      </c>
      <c r="CM18" s="14">
        <v>50990</v>
      </c>
      <c r="CN18" s="14">
        <v>0</v>
      </c>
      <c r="CO18" s="14"/>
      <c r="CP18" s="3">
        <v>0</v>
      </c>
      <c r="CQ18" s="14">
        <f t="shared" si="38"/>
        <v>12000</v>
      </c>
      <c r="CR18" s="3">
        <f t="shared" si="35"/>
        <v>504</v>
      </c>
      <c r="CS18" s="41">
        <f t="shared" si="36"/>
        <v>12504</v>
      </c>
      <c r="CT18" s="14">
        <v>0</v>
      </c>
      <c r="CU18" s="14">
        <v>0</v>
      </c>
      <c r="CV18" s="14">
        <v>0</v>
      </c>
      <c r="CW18" s="14">
        <v>0</v>
      </c>
      <c r="CX18" s="14">
        <v>12000</v>
      </c>
    </row>
    <row r="19" spans="1:102">
      <c r="A19" s="3">
        <v>17</v>
      </c>
      <c r="B19" s="5" t="s">
        <v>36</v>
      </c>
      <c r="C19" s="10">
        <v>0</v>
      </c>
      <c r="D19" s="6">
        <f t="shared" si="0"/>
        <v>0</v>
      </c>
      <c r="E19" s="6">
        <f t="shared" si="1"/>
        <v>0</v>
      </c>
      <c r="F19" s="6">
        <v>500</v>
      </c>
      <c r="G19" s="6">
        <v>0</v>
      </c>
      <c r="H19" s="6">
        <v>500</v>
      </c>
      <c r="I19" s="21">
        <v>0</v>
      </c>
      <c r="J19" s="21">
        <f t="shared" si="2"/>
        <v>0</v>
      </c>
      <c r="K19" s="6">
        <f t="shared" si="3"/>
        <v>0</v>
      </c>
      <c r="L19" s="6">
        <f t="shared" si="37"/>
        <v>0</v>
      </c>
      <c r="M19" s="6">
        <v>1000</v>
      </c>
      <c r="N19" s="6">
        <v>0</v>
      </c>
      <c r="O19" s="6">
        <v>1000</v>
      </c>
      <c r="P19" s="6">
        <v>0</v>
      </c>
      <c r="Q19" s="21">
        <f t="shared" si="4"/>
        <v>0</v>
      </c>
      <c r="R19" s="6">
        <f t="shared" si="5"/>
        <v>0</v>
      </c>
      <c r="S19" s="6">
        <f t="shared" si="6"/>
        <v>0</v>
      </c>
      <c r="T19" s="6">
        <v>1000</v>
      </c>
      <c r="U19" s="6">
        <v>0</v>
      </c>
      <c r="V19" s="6">
        <v>1000</v>
      </c>
      <c r="W19" s="6"/>
      <c r="X19" s="21">
        <f t="shared" si="7"/>
        <v>0</v>
      </c>
      <c r="Y19" s="6">
        <f t="shared" si="8"/>
        <v>0</v>
      </c>
      <c r="Z19" s="6">
        <f t="shared" si="9"/>
        <v>0</v>
      </c>
      <c r="AA19" s="6">
        <v>1000</v>
      </c>
      <c r="AB19" s="6">
        <v>0</v>
      </c>
      <c r="AC19" s="6">
        <v>1000</v>
      </c>
      <c r="AD19" s="6"/>
      <c r="AE19" s="21">
        <f t="shared" si="10"/>
        <v>0</v>
      </c>
      <c r="AF19" s="6">
        <f t="shared" si="11"/>
        <v>0</v>
      </c>
      <c r="AG19" s="6">
        <f t="shared" si="12"/>
        <v>0</v>
      </c>
      <c r="AH19" s="6">
        <v>1000</v>
      </c>
      <c r="AI19" s="6">
        <v>0</v>
      </c>
      <c r="AJ19" s="6">
        <v>1000</v>
      </c>
      <c r="AK19" s="6"/>
      <c r="AL19" s="21">
        <f t="shared" si="13"/>
        <v>0</v>
      </c>
      <c r="AM19" s="6">
        <f t="shared" si="14"/>
        <v>0</v>
      </c>
      <c r="AN19" s="6">
        <f t="shared" si="15"/>
        <v>0</v>
      </c>
      <c r="AO19" s="6">
        <v>1000</v>
      </c>
      <c r="AP19" s="6"/>
      <c r="AQ19" s="6">
        <v>1000</v>
      </c>
      <c r="AR19" s="6"/>
      <c r="AS19" s="6"/>
      <c r="AU19" s="21">
        <f t="shared" si="16"/>
        <v>0</v>
      </c>
      <c r="AV19" s="6">
        <f t="shared" si="17"/>
        <v>0</v>
      </c>
      <c r="AW19" s="6">
        <f t="shared" si="18"/>
        <v>0</v>
      </c>
      <c r="AX19" s="6">
        <v>1000</v>
      </c>
      <c r="AY19" s="6"/>
      <c r="AZ19" s="6">
        <v>1000</v>
      </c>
      <c r="BA19" s="6"/>
      <c r="BB19" s="21">
        <f t="shared" si="19"/>
        <v>0</v>
      </c>
      <c r="BC19" s="6">
        <f t="shared" si="20"/>
        <v>0</v>
      </c>
      <c r="BD19" s="6">
        <f t="shared" si="21"/>
        <v>0</v>
      </c>
      <c r="BE19" s="6">
        <v>1000</v>
      </c>
      <c r="BF19" s="6">
        <v>1000</v>
      </c>
      <c r="BG19" s="6">
        <v>2000</v>
      </c>
      <c r="BH19" s="6"/>
      <c r="BI19" s="21">
        <f t="shared" si="22"/>
        <v>0</v>
      </c>
      <c r="BJ19" s="6">
        <f t="shared" si="23"/>
        <v>0</v>
      </c>
      <c r="BK19" s="6">
        <f t="shared" si="24"/>
        <v>0</v>
      </c>
      <c r="BL19" s="6">
        <v>1000</v>
      </c>
      <c r="BM19" s="6">
        <v>1000</v>
      </c>
      <c r="BN19" s="6">
        <v>2000</v>
      </c>
      <c r="BO19" s="6">
        <v>0</v>
      </c>
      <c r="BP19" s="21">
        <f t="shared" si="25"/>
        <v>0</v>
      </c>
      <c r="BQ19" s="6">
        <f t="shared" si="26"/>
        <v>0</v>
      </c>
      <c r="BR19" s="6">
        <f t="shared" si="27"/>
        <v>0</v>
      </c>
      <c r="BS19" s="6">
        <v>1000</v>
      </c>
      <c r="BT19" s="6">
        <v>1000</v>
      </c>
      <c r="BU19" s="6">
        <v>2000</v>
      </c>
      <c r="BV19" s="6"/>
      <c r="BW19" s="21">
        <f t="shared" si="28"/>
        <v>0</v>
      </c>
      <c r="BX19" s="6">
        <f t="shared" si="29"/>
        <v>0</v>
      </c>
      <c r="BY19" s="6">
        <f t="shared" si="30"/>
        <v>0</v>
      </c>
      <c r="BZ19" s="6">
        <v>1000</v>
      </c>
      <c r="CA19" s="6">
        <v>1000</v>
      </c>
      <c r="CB19" s="6">
        <v>2000</v>
      </c>
      <c r="CC19" s="6"/>
      <c r="CD19" s="21">
        <f t="shared" si="31"/>
        <v>0</v>
      </c>
      <c r="CE19" s="6">
        <f t="shared" si="32"/>
        <v>0</v>
      </c>
      <c r="CF19" s="6">
        <f t="shared" si="33"/>
        <v>0</v>
      </c>
      <c r="CG19" s="6">
        <v>1000</v>
      </c>
      <c r="CH19" s="6">
        <v>1000</v>
      </c>
      <c r="CI19" s="6">
        <v>2000</v>
      </c>
      <c r="CJ19" s="6"/>
      <c r="CK19" s="5" t="s">
        <v>36</v>
      </c>
      <c r="CL19" s="14">
        <f t="shared" si="34"/>
        <v>0</v>
      </c>
      <c r="CM19" s="14">
        <v>109560</v>
      </c>
      <c r="CN19" s="14">
        <v>0</v>
      </c>
      <c r="CO19" s="14">
        <v>10000</v>
      </c>
      <c r="CP19" s="3">
        <v>6338</v>
      </c>
      <c r="CQ19" s="14">
        <f t="shared" si="38"/>
        <v>17838</v>
      </c>
      <c r="CR19" s="3">
        <f t="shared" si="35"/>
        <v>749</v>
      </c>
      <c r="CS19" s="41">
        <f t="shared" si="36"/>
        <v>18587</v>
      </c>
      <c r="CT19" s="14">
        <v>4381</v>
      </c>
      <c r="CU19" s="14">
        <v>6728</v>
      </c>
      <c r="CV19" s="14">
        <v>10109</v>
      </c>
      <c r="CW19" s="14">
        <v>115340</v>
      </c>
      <c r="CX19" s="14">
        <v>12000</v>
      </c>
    </row>
    <row r="20" spans="1:102">
      <c r="A20" s="3">
        <v>18</v>
      </c>
      <c r="B20" s="5" t="s">
        <v>37</v>
      </c>
      <c r="C20" s="10">
        <v>200</v>
      </c>
      <c r="D20" s="6">
        <f t="shared" si="0"/>
        <v>200</v>
      </c>
      <c r="E20" s="6">
        <f t="shared" si="1"/>
        <v>1</v>
      </c>
      <c r="F20" s="6">
        <v>499</v>
      </c>
      <c r="G20" s="6">
        <v>0</v>
      </c>
      <c r="H20" s="6">
        <v>700</v>
      </c>
      <c r="I20" s="21"/>
      <c r="J20" s="21">
        <f t="shared" si="2"/>
        <v>0</v>
      </c>
      <c r="K20" s="6">
        <f t="shared" si="3"/>
        <v>0</v>
      </c>
      <c r="L20" s="6">
        <f t="shared" si="37"/>
        <v>0</v>
      </c>
      <c r="M20" s="6">
        <v>700</v>
      </c>
      <c r="N20" s="6">
        <v>0</v>
      </c>
      <c r="O20" s="6">
        <v>700</v>
      </c>
      <c r="P20" s="6"/>
      <c r="Q20" s="21">
        <f t="shared" si="4"/>
        <v>0</v>
      </c>
      <c r="R20" s="6">
        <f t="shared" si="5"/>
        <v>0</v>
      </c>
      <c r="S20" s="6">
        <f t="shared" si="6"/>
        <v>0</v>
      </c>
      <c r="T20" s="6">
        <v>700</v>
      </c>
      <c r="U20" s="6">
        <v>0</v>
      </c>
      <c r="V20" s="6">
        <v>700</v>
      </c>
      <c r="W20" s="6"/>
      <c r="X20" s="21">
        <f t="shared" si="7"/>
        <v>0</v>
      </c>
      <c r="Y20" s="6">
        <f t="shared" si="8"/>
        <v>0</v>
      </c>
      <c r="Z20" s="6">
        <f t="shared" si="9"/>
        <v>0</v>
      </c>
      <c r="AA20" s="6">
        <v>700</v>
      </c>
      <c r="AB20" s="6">
        <v>0</v>
      </c>
      <c r="AC20" s="6">
        <v>700</v>
      </c>
      <c r="AD20" s="6"/>
      <c r="AE20" s="21">
        <f t="shared" si="10"/>
        <v>0</v>
      </c>
      <c r="AF20" s="6">
        <f t="shared" si="11"/>
        <v>0</v>
      </c>
      <c r="AG20" s="6">
        <f t="shared" si="12"/>
        <v>0</v>
      </c>
      <c r="AH20" s="6">
        <v>700</v>
      </c>
      <c r="AI20" s="6">
        <v>0</v>
      </c>
      <c r="AJ20" s="6">
        <v>700</v>
      </c>
      <c r="AK20" s="6"/>
      <c r="AL20" s="21">
        <f t="shared" si="13"/>
        <v>0</v>
      </c>
      <c r="AM20" s="6">
        <f t="shared" si="14"/>
        <v>0</v>
      </c>
      <c r="AN20" s="6">
        <f t="shared" si="15"/>
        <v>0</v>
      </c>
      <c r="AO20" s="6">
        <v>700</v>
      </c>
      <c r="AP20" s="6"/>
      <c r="AQ20" s="6">
        <v>700</v>
      </c>
      <c r="AR20" s="6"/>
      <c r="AS20" s="6"/>
      <c r="AU20" s="21">
        <f t="shared" si="16"/>
        <v>0</v>
      </c>
      <c r="AV20" s="6">
        <f t="shared" si="17"/>
        <v>0</v>
      </c>
      <c r="AW20" s="6">
        <f t="shared" si="18"/>
        <v>0</v>
      </c>
      <c r="AX20" s="6">
        <v>700</v>
      </c>
      <c r="AY20" s="6"/>
      <c r="AZ20" s="6">
        <v>700</v>
      </c>
      <c r="BA20" s="6"/>
      <c r="BB20" s="21">
        <f t="shared" si="19"/>
        <v>0</v>
      </c>
      <c r="BC20" s="6">
        <f t="shared" si="20"/>
        <v>0</v>
      </c>
      <c r="BD20" s="6">
        <f t="shared" si="21"/>
        <v>0</v>
      </c>
      <c r="BE20" s="6">
        <v>700</v>
      </c>
      <c r="BF20" s="6">
        <v>0</v>
      </c>
      <c r="BG20" s="6">
        <v>700</v>
      </c>
      <c r="BH20" s="6"/>
      <c r="BI20" s="21">
        <f t="shared" si="22"/>
        <v>0</v>
      </c>
      <c r="BJ20" s="6">
        <f t="shared" si="23"/>
        <v>0</v>
      </c>
      <c r="BK20" s="6">
        <f t="shared" si="24"/>
        <v>0</v>
      </c>
      <c r="BL20" s="6">
        <v>700</v>
      </c>
      <c r="BM20" s="6">
        <v>0</v>
      </c>
      <c r="BN20" s="6">
        <v>700</v>
      </c>
      <c r="BO20" s="6"/>
      <c r="BP20" s="21">
        <f t="shared" si="25"/>
        <v>0</v>
      </c>
      <c r="BQ20" s="6">
        <f t="shared" si="26"/>
        <v>0</v>
      </c>
      <c r="BR20" s="6">
        <f t="shared" si="27"/>
        <v>0</v>
      </c>
      <c r="BS20" s="6">
        <v>700</v>
      </c>
      <c r="BT20" s="6">
        <v>0</v>
      </c>
      <c r="BU20" s="6">
        <v>700</v>
      </c>
      <c r="BV20" s="6"/>
      <c r="BW20" s="21">
        <f t="shared" si="28"/>
        <v>0</v>
      </c>
      <c r="BX20" s="6">
        <f t="shared" si="29"/>
        <v>0</v>
      </c>
      <c r="BY20" s="6">
        <f t="shared" si="30"/>
        <v>0</v>
      </c>
      <c r="BZ20" s="6">
        <v>700</v>
      </c>
      <c r="CA20" s="6">
        <v>0</v>
      </c>
      <c r="CB20" s="6">
        <v>700</v>
      </c>
      <c r="CC20" s="6">
        <v>0</v>
      </c>
      <c r="CD20" s="21">
        <f t="shared" si="31"/>
        <v>0</v>
      </c>
      <c r="CE20" s="6">
        <f t="shared" si="32"/>
        <v>0</v>
      </c>
      <c r="CF20" s="6">
        <f t="shared" si="33"/>
        <v>0</v>
      </c>
      <c r="CG20" s="6">
        <v>700</v>
      </c>
      <c r="CH20" s="6">
        <v>0</v>
      </c>
      <c r="CI20" s="6">
        <v>700</v>
      </c>
      <c r="CJ20" s="6"/>
      <c r="CK20" s="5" t="s">
        <v>37</v>
      </c>
      <c r="CL20" s="14">
        <f t="shared" si="34"/>
        <v>0</v>
      </c>
      <c r="CM20" s="14">
        <v>0</v>
      </c>
      <c r="CN20" s="14">
        <v>5000</v>
      </c>
      <c r="CO20" s="14">
        <v>5000</v>
      </c>
      <c r="CP20" s="3">
        <v>34113</v>
      </c>
      <c r="CQ20" s="14">
        <f t="shared" si="38"/>
        <v>42312</v>
      </c>
      <c r="CR20" s="3">
        <f t="shared" si="35"/>
        <v>1777</v>
      </c>
      <c r="CS20" s="41">
        <f t="shared" si="36"/>
        <v>44089</v>
      </c>
      <c r="CT20" s="14">
        <v>3627</v>
      </c>
      <c r="CU20" s="14">
        <v>373</v>
      </c>
      <c r="CV20" s="14">
        <v>25000</v>
      </c>
      <c r="CW20" s="14">
        <v>21373</v>
      </c>
      <c r="CX20" s="14">
        <v>6000</v>
      </c>
    </row>
    <row r="21" spans="1:102">
      <c r="A21" s="3">
        <v>19</v>
      </c>
      <c r="B21" s="5" t="s">
        <v>38</v>
      </c>
      <c r="C21" s="10">
        <v>34186</v>
      </c>
      <c r="D21" s="6">
        <f t="shared" si="0"/>
        <v>1829</v>
      </c>
      <c r="E21" s="6">
        <f t="shared" si="1"/>
        <v>171</v>
      </c>
      <c r="F21" s="6">
        <v>500</v>
      </c>
      <c r="G21" s="6">
        <v>0</v>
      </c>
      <c r="H21" s="6">
        <v>2500</v>
      </c>
      <c r="I21" s="21"/>
      <c r="J21" s="21">
        <f t="shared" si="2"/>
        <v>32357</v>
      </c>
      <c r="K21" s="6">
        <f t="shared" si="3"/>
        <v>1838</v>
      </c>
      <c r="L21" s="6">
        <f t="shared" si="37"/>
        <v>162</v>
      </c>
      <c r="M21" s="6">
        <v>500</v>
      </c>
      <c r="N21" s="6">
        <v>0</v>
      </c>
      <c r="O21" s="6">
        <v>2500</v>
      </c>
      <c r="P21" s="6"/>
      <c r="Q21" s="21">
        <f t="shared" si="4"/>
        <v>30519</v>
      </c>
      <c r="R21" s="6">
        <f t="shared" si="5"/>
        <v>11847</v>
      </c>
      <c r="S21" s="6">
        <f t="shared" si="6"/>
        <v>153</v>
      </c>
      <c r="T21" s="6">
        <v>500</v>
      </c>
      <c r="U21" s="6">
        <v>0</v>
      </c>
      <c r="V21" s="6">
        <v>12500</v>
      </c>
      <c r="W21" s="6"/>
      <c r="X21" s="21">
        <f t="shared" si="7"/>
        <v>18672</v>
      </c>
      <c r="Y21" s="6">
        <f t="shared" si="8"/>
        <v>1907</v>
      </c>
      <c r="Z21" s="6">
        <f t="shared" si="9"/>
        <v>93</v>
      </c>
      <c r="AA21" s="6">
        <v>500</v>
      </c>
      <c r="AB21" s="6">
        <v>0</v>
      </c>
      <c r="AC21" s="6">
        <v>2500</v>
      </c>
      <c r="AD21" s="6"/>
      <c r="AE21" s="21">
        <f t="shared" si="10"/>
        <v>16765</v>
      </c>
      <c r="AF21" s="6">
        <f t="shared" si="11"/>
        <v>1916</v>
      </c>
      <c r="AG21" s="6">
        <f t="shared" si="12"/>
        <v>84</v>
      </c>
      <c r="AH21" s="6">
        <v>500</v>
      </c>
      <c r="AI21" s="6">
        <v>0</v>
      </c>
      <c r="AJ21" s="6">
        <v>2500</v>
      </c>
      <c r="AK21" s="6"/>
      <c r="AL21" s="21">
        <f t="shared" si="13"/>
        <v>14849</v>
      </c>
      <c r="AM21" s="6">
        <f t="shared" si="14"/>
        <v>1926</v>
      </c>
      <c r="AN21" s="6">
        <f t="shared" si="15"/>
        <v>74</v>
      </c>
      <c r="AO21" s="6">
        <v>500</v>
      </c>
      <c r="AP21" s="6"/>
      <c r="AQ21" s="6">
        <v>2500</v>
      </c>
      <c r="AR21" s="6"/>
      <c r="AS21" s="6"/>
      <c r="AU21" s="21">
        <f t="shared" si="16"/>
        <v>12923</v>
      </c>
      <c r="AV21" s="6">
        <f t="shared" si="17"/>
        <v>1935</v>
      </c>
      <c r="AW21" s="6">
        <f t="shared" si="18"/>
        <v>65</v>
      </c>
      <c r="AX21" s="6">
        <v>500</v>
      </c>
      <c r="AY21" s="6"/>
      <c r="AZ21" s="6">
        <v>2500</v>
      </c>
      <c r="BA21" s="6"/>
      <c r="BB21" s="21">
        <f t="shared" si="19"/>
        <v>10988</v>
      </c>
      <c r="BC21" s="6">
        <f t="shared" si="20"/>
        <v>1945</v>
      </c>
      <c r="BD21" s="6">
        <f t="shared" si="21"/>
        <v>55</v>
      </c>
      <c r="BE21" s="6">
        <v>500</v>
      </c>
      <c r="BF21" s="6">
        <v>0</v>
      </c>
      <c r="BG21" s="6">
        <v>2500</v>
      </c>
      <c r="BH21" s="6"/>
      <c r="BI21" s="21">
        <f t="shared" si="22"/>
        <v>9043</v>
      </c>
      <c r="BJ21" s="6">
        <f t="shared" si="23"/>
        <v>1955</v>
      </c>
      <c r="BK21" s="6">
        <f t="shared" si="24"/>
        <v>45</v>
      </c>
      <c r="BL21" s="6">
        <v>500</v>
      </c>
      <c r="BM21" s="6">
        <v>0</v>
      </c>
      <c r="BN21" s="6">
        <v>2500</v>
      </c>
      <c r="BO21" s="6"/>
      <c r="BP21" s="21">
        <f t="shared" si="25"/>
        <v>7088</v>
      </c>
      <c r="BQ21" s="6">
        <f t="shared" si="26"/>
        <v>1965</v>
      </c>
      <c r="BR21" s="6">
        <f t="shared" si="27"/>
        <v>35</v>
      </c>
      <c r="BS21" s="6">
        <v>500</v>
      </c>
      <c r="BT21" s="6">
        <v>0</v>
      </c>
      <c r="BU21" s="6">
        <v>2500</v>
      </c>
      <c r="BV21" s="6"/>
      <c r="BW21" s="21">
        <f t="shared" si="28"/>
        <v>5123</v>
      </c>
      <c r="BX21" s="6">
        <f t="shared" si="29"/>
        <v>1974</v>
      </c>
      <c r="BY21" s="6">
        <f t="shared" si="30"/>
        <v>26</v>
      </c>
      <c r="BZ21" s="6">
        <v>500</v>
      </c>
      <c r="CA21" s="6">
        <v>0</v>
      </c>
      <c r="CB21" s="6">
        <v>2500</v>
      </c>
      <c r="CC21" s="6"/>
      <c r="CD21" s="21">
        <f t="shared" si="31"/>
        <v>3149</v>
      </c>
      <c r="CE21" s="6">
        <f t="shared" si="32"/>
        <v>1984</v>
      </c>
      <c r="CF21" s="6">
        <f t="shared" si="33"/>
        <v>16</v>
      </c>
      <c r="CG21" s="6">
        <v>500</v>
      </c>
      <c r="CH21" s="6">
        <v>0</v>
      </c>
      <c r="CI21" s="6">
        <v>2500</v>
      </c>
      <c r="CJ21" s="6">
        <v>0</v>
      </c>
      <c r="CK21" s="5" t="s">
        <v>38</v>
      </c>
      <c r="CL21" s="14">
        <f t="shared" si="34"/>
        <v>1165</v>
      </c>
      <c r="CM21" s="14">
        <v>63465</v>
      </c>
      <c r="CN21" s="14">
        <v>5000</v>
      </c>
      <c r="CO21" s="14">
        <v>5000</v>
      </c>
      <c r="CP21" s="3">
        <v>19931</v>
      </c>
      <c r="CQ21" s="14">
        <f t="shared" si="38"/>
        <v>25931</v>
      </c>
      <c r="CR21" s="3">
        <f t="shared" si="35"/>
        <v>1089</v>
      </c>
      <c r="CS21" s="41">
        <f t="shared" si="36"/>
        <v>27020</v>
      </c>
      <c r="CT21" s="14">
        <v>27740</v>
      </c>
      <c r="CU21" s="14">
        <v>4643</v>
      </c>
      <c r="CV21" s="14">
        <v>66783</v>
      </c>
      <c r="CW21" s="14">
        <v>102598</v>
      </c>
      <c r="CX21" s="14">
        <v>6000</v>
      </c>
    </row>
    <row r="22" spans="1:102">
      <c r="A22" s="3">
        <v>20</v>
      </c>
      <c r="B22" s="5" t="s">
        <v>39</v>
      </c>
      <c r="C22" s="10">
        <v>0</v>
      </c>
      <c r="D22" s="6"/>
      <c r="E22" s="6"/>
      <c r="F22" s="6">
        <v>500</v>
      </c>
      <c r="G22" s="6"/>
      <c r="H22" s="6">
        <v>500</v>
      </c>
      <c r="I22" s="21"/>
      <c r="J22" s="21">
        <f t="shared" si="2"/>
        <v>0</v>
      </c>
      <c r="K22" s="6"/>
      <c r="L22" s="6">
        <f t="shared" si="37"/>
        <v>0</v>
      </c>
      <c r="M22" s="6">
        <v>500</v>
      </c>
      <c r="N22" s="6"/>
      <c r="O22" s="6">
        <v>500</v>
      </c>
      <c r="P22" s="1"/>
      <c r="Q22" s="21">
        <f t="shared" si="4"/>
        <v>0</v>
      </c>
      <c r="R22" s="6"/>
      <c r="S22" s="6">
        <f t="shared" si="6"/>
        <v>0</v>
      </c>
      <c r="T22" s="6">
        <v>500</v>
      </c>
      <c r="U22" s="6"/>
      <c r="V22" s="6">
        <v>500</v>
      </c>
      <c r="W22" s="6"/>
      <c r="X22" s="21">
        <f t="shared" si="7"/>
        <v>0</v>
      </c>
      <c r="Y22" s="6"/>
      <c r="Z22" s="6">
        <f t="shared" si="9"/>
        <v>0</v>
      </c>
      <c r="AA22" s="6">
        <v>500</v>
      </c>
      <c r="AB22" s="6"/>
      <c r="AC22" s="6">
        <v>500</v>
      </c>
      <c r="AD22" s="6"/>
      <c r="AE22" s="21">
        <f t="shared" si="10"/>
        <v>0</v>
      </c>
      <c r="AF22" s="6"/>
      <c r="AG22" s="6">
        <f t="shared" si="12"/>
        <v>0</v>
      </c>
      <c r="AH22" s="6">
        <v>500</v>
      </c>
      <c r="AI22" s="6"/>
      <c r="AJ22" s="6">
        <v>500</v>
      </c>
      <c r="AK22" s="6">
        <v>0</v>
      </c>
      <c r="AL22" s="21">
        <f t="shared" si="13"/>
        <v>0</v>
      </c>
      <c r="AM22" s="6"/>
      <c r="AN22" s="6">
        <f t="shared" si="15"/>
        <v>0</v>
      </c>
      <c r="AO22" s="6">
        <v>500</v>
      </c>
      <c r="AP22" s="6"/>
      <c r="AQ22" s="6">
        <v>500</v>
      </c>
      <c r="AR22" s="6"/>
      <c r="AS22" s="6">
        <v>500</v>
      </c>
      <c r="AU22" s="21">
        <f t="shared" si="16"/>
        <v>500</v>
      </c>
      <c r="AV22" s="6"/>
      <c r="AW22" s="6">
        <f t="shared" si="18"/>
        <v>3</v>
      </c>
      <c r="AX22" s="6">
        <v>500</v>
      </c>
      <c r="AY22" s="6"/>
      <c r="AZ22" s="6">
        <v>503</v>
      </c>
      <c r="BA22" s="6">
        <v>503</v>
      </c>
      <c r="BB22" s="21">
        <f t="shared" si="19"/>
        <v>1003</v>
      </c>
      <c r="BC22" s="6"/>
      <c r="BD22" s="6">
        <f t="shared" si="21"/>
        <v>5</v>
      </c>
      <c r="BE22" s="6">
        <v>500</v>
      </c>
      <c r="BF22" s="6">
        <v>0</v>
      </c>
      <c r="BG22" s="6">
        <v>505</v>
      </c>
      <c r="BH22" s="6">
        <v>505</v>
      </c>
      <c r="BI22" s="21">
        <f t="shared" si="22"/>
        <v>1508</v>
      </c>
      <c r="BJ22" s="6"/>
      <c r="BK22" s="6">
        <f t="shared" si="24"/>
        <v>8</v>
      </c>
      <c r="BL22" s="6">
        <v>500</v>
      </c>
      <c r="BM22" s="6">
        <v>0</v>
      </c>
      <c r="BN22" s="6">
        <v>508</v>
      </c>
      <c r="BO22" s="6">
        <v>508</v>
      </c>
      <c r="BP22" s="21">
        <f t="shared" si="25"/>
        <v>2016</v>
      </c>
      <c r="BQ22" s="6"/>
      <c r="BR22" s="6">
        <f t="shared" si="27"/>
        <v>10</v>
      </c>
      <c r="BS22" s="6">
        <v>500</v>
      </c>
      <c r="BT22" s="6">
        <v>0</v>
      </c>
      <c r="BU22" s="6">
        <v>510</v>
      </c>
      <c r="BV22" s="6">
        <v>510</v>
      </c>
      <c r="BW22" s="21">
        <f t="shared" si="28"/>
        <v>2526</v>
      </c>
      <c r="BX22" s="6"/>
      <c r="BY22" s="6">
        <f t="shared" si="30"/>
        <v>13</v>
      </c>
      <c r="BZ22" s="6">
        <v>500</v>
      </c>
      <c r="CA22" s="6">
        <v>0</v>
      </c>
      <c r="CB22" s="6">
        <v>513</v>
      </c>
      <c r="CC22" s="6">
        <v>513</v>
      </c>
      <c r="CD22" s="21">
        <f t="shared" si="31"/>
        <v>3039</v>
      </c>
      <c r="CE22" s="6"/>
      <c r="CF22" s="6">
        <f t="shared" si="33"/>
        <v>15</v>
      </c>
      <c r="CG22" s="6">
        <v>500</v>
      </c>
      <c r="CH22" s="6">
        <v>0</v>
      </c>
      <c r="CI22" s="6">
        <v>515</v>
      </c>
      <c r="CJ22" s="6">
        <v>515</v>
      </c>
      <c r="CK22" s="5" t="s">
        <v>39</v>
      </c>
      <c r="CL22" s="14">
        <f t="shared" si="34"/>
        <v>3554</v>
      </c>
      <c r="CM22" s="14"/>
      <c r="CN22" s="14"/>
      <c r="CO22" s="14"/>
      <c r="CP22" s="3">
        <v>37684</v>
      </c>
      <c r="CQ22" s="14">
        <f t="shared" si="38"/>
        <v>43684</v>
      </c>
      <c r="CR22" s="3">
        <f t="shared" si="35"/>
        <v>1834</v>
      </c>
      <c r="CS22" s="41">
        <f t="shared" si="36"/>
        <v>45518</v>
      </c>
      <c r="CT22" s="14"/>
      <c r="CU22" s="14"/>
      <c r="CV22" s="14"/>
      <c r="CW22" s="14"/>
      <c r="CX22" s="14"/>
    </row>
    <row r="23" spans="1:102">
      <c r="A23" s="3">
        <v>21</v>
      </c>
      <c r="B23" s="5" t="s">
        <v>40</v>
      </c>
      <c r="C23" s="6">
        <v>3389</v>
      </c>
      <c r="D23" s="6">
        <f t="shared" si="0"/>
        <v>3389</v>
      </c>
      <c r="E23" s="6">
        <v>0</v>
      </c>
      <c r="F23" s="6">
        <v>0</v>
      </c>
      <c r="G23" s="6">
        <v>0</v>
      </c>
      <c r="H23" s="6">
        <v>3389</v>
      </c>
      <c r="I23" s="21"/>
      <c r="J23" s="21">
        <f t="shared" si="2"/>
        <v>0</v>
      </c>
      <c r="K23" s="6">
        <f t="shared" si="3"/>
        <v>0</v>
      </c>
      <c r="L23" s="6">
        <f t="shared" si="37"/>
        <v>0</v>
      </c>
      <c r="M23" s="6"/>
      <c r="N23" s="6"/>
      <c r="O23" s="6"/>
      <c r="P23" s="6"/>
      <c r="Q23" s="21">
        <f t="shared" si="4"/>
        <v>0</v>
      </c>
      <c r="R23" s="6">
        <f t="shared" si="5"/>
        <v>0</v>
      </c>
      <c r="S23" s="6">
        <f t="shared" si="6"/>
        <v>0</v>
      </c>
      <c r="T23" s="6"/>
      <c r="U23" s="6"/>
      <c r="V23" s="6"/>
      <c r="W23" s="6"/>
      <c r="X23" s="21">
        <f t="shared" si="7"/>
        <v>0</v>
      </c>
      <c r="Y23" s="6">
        <f t="shared" si="8"/>
        <v>0</v>
      </c>
      <c r="Z23" s="6">
        <f t="shared" si="9"/>
        <v>0</v>
      </c>
      <c r="AA23" s="6"/>
      <c r="AB23" s="6"/>
      <c r="AC23" s="6"/>
      <c r="AD23" s="6"/>
      <c r="AE23" s="21">
        <f t="shared" si="10"/>
        <v>0</v>
      </c>
      <c r="AF23" s="6">
        <f t="shared" si="11"/>
        <v>0</v>
      </c>
      <c r="AG23" s="6">
        <f t="shared" si="12"/>
        <v>0</v>
      </c>
      <c r="AH23" s="6"/>
      <c r="AI23" s="6"/>
      <c r="AJ23" s="6"/>
      <c r="AK23" s="6"/>
      <c r="AL23" s="21">
        <f t="shared" si="13"/>
        <v>0</v>
      </c>
      <c r="AM23" s="6">
        <f t="shared" si="14"/>
        <v>0</v>
      </c>
      <c r="AN23" s="6">
        <f t="shared" si="15"/>
        <v>0</v>
      </c>
      <c r="AO23" s="6"/>
      <c r="AP23" s="6"/>
      <c r="AQ23" s="6"/>
      <c r="AR23" s="6"/>
      <c r="AS23" s="6"/>
      <c r="AU23" s="21">
        <f t="shared" si="16"/>
        <v>0</v>
      </c>
      <c r="AV23" s="6">
        <f t="shared" si="17"/>
        <v>0</v>
      </c>
      <c r="AW23" s="6">
        <f t="shared" si="18"/>
        <v>0</v>
      </c>
      <c r="AX23" s="6"/>
      <c r="AY23" s="6"/>
      <c r="AZ23" s="6"/>
      <c r="BA23" s="6"/>
      <c r="BB23" s="21">
        <f t="shared" si="19"/>
        <v>0</v>
      </c>
      <c r="BC23" s="6">
        <f t="shared" si="20"/>
        <v>0</v>
      </c>
      <c r="BD23" s="6">
        <f t="shared" si="21"/>
        <v>0</v>
      </c>
      <c r="BE23" s="6"/>
      <c r="BF23" s="6"/>
      <c r="BG23" s="6"/>
      <c r="BH23" s="6"/>
      <c r="BI23" s="21">
        <f t="shared" si="22"/>
        <v>0</v>
      </c>
      <c r="BJ23" s="6">
        <f t="shared" si="23"/>
        <v>0</v>
      </c>
      <c r="BK23" s="6">
        <f t="shared" si="24"/>
        <v>0</v>
      </c>
      <c r="BL23" s="6"/>
      <c r="BM23" s="6"/>
      <c r="BN23" s="6"/>
      <c r="BO23" s="6"/>
      <c r="BP23" s="21">
        <f t="shared" si="25"/>
        <v>0</v>
      </c>
      <c r="BQ23" s="6">
        <f t="shared" si="26"/>
        <v>0</v>
      </c>
      <c r="BR23" s="6">
        <f t="shared" si="27"/>
        <v>0</v>
      </c>
      <c r="BS23" s="6"/>
      <c r="BT23" s="6"/>
      <c r="BU23" s="6"/>
      <c r="BV23" s="6"/>
      <c r="BW23" s="21">
        <f t="shared" si="28"/>
        <v>0</v>
      </c>
      <c r="BX23" s="6">
        <f t="shared" si="29"/>
        <v>0</v>
      </c>
      <c r="BY23" s="6">
        <f t="shared" si="30"/>
        <v>0</v>
      </c>
      <c r="BZ23" s="6"/>
      <c r="CA23" s="6"/>
      <c r="CB23" s="6"/>
      <c r="CC23" s="6"/>
      <c r="CD23" s="21">
        <f t="shared" si="31"/>
        <v>0</v>
      </c>
      <c r="CE23" s="6">
        <f t="shared" si="32"/>
        <v>0</v>
      </c>
      <c r="CF23" s="6">
        <f t="shared" si="33"/>
        <v>0</v>
      </c>
      <c r="CG23" s="6"/>
      <c r="CH23" s="6"/>
      <c r="CI23" s="6"/>
      <c r="CJ23" s="6"/>
      <c r="CK23" s="5" t="s">
        <v>40</v>
      </c>
      <c r="CL23" s="14">
        <f t="shared" si="34"/>
        <v>0</v>
      </c>
      <c r="CM23" s="14">
        <v>55373</v>
      </c>
      <c r="CN23" s="14">
        <v>0</v>
      </c>
      <c r="CO23" s="14"/>
      <c r="CP23" s="3">
        <v>6335</v>
      </c>
      <c r="CQ23" s="38" t="s">
        <v>86</v>
      </c>
      <c r="CR23" s="3">
        <v>0</v>
      </c>
      <c r="CS23" s="41">
        <v>0</v>
      </c>
      <c r="CT23" s="14">
        <v>4307</v>
      </c>
      <c r="CU23" s="14">
        <v>3768</v>
      </c>
      <c r="CV23" s="14">
        <v>4875</v>
      </c>
      <c r="CW23" s="14">
        <v>64704</v>
      </c>
      <c r="CX23" s="14">
        <v>6000</v>
      </c>
    </row>
    <row r="24" spans="1:102">
      <c r="A24" s="3">
        <v>22</v>
      </c>
      <c r="B24" s="2" t="s">
        <v>41</v>
      </c>
      <c r="C24" s="6">
        <v>675</v>
      </c>
      <c r="D24" s="6">
        <f t="shared" si="0"/>
        <v>493</v>
      </c>
      <c r="E24" s="6">
        <f>MROUND(((C24*1)/100),1)</f>
        <v>7</v>
      </c>
      <c r="F24" s="6"/>
      <c r="G24" s="6">
        <v>0</v>
      </c>
      <c r="H24" s="6">
        <v>500</v>
      </c>
      <c r="I24" s="21">
        <v>0</v>
      </c>
      <c r="J24" s="21">
        <f>C24-D24+I24</f>
        <v>182</v>
      </c>
      <c r="K24" s="6">
        <f t="shared" si="3"/>
        <v>182</v>
      </c>
      <c r="L24" s="6">
        <f>MROUND(((J24*1)/100),1)</f>
        <v>2</v>
      </c>
      <c r="M24" s="6"/>
      <c r="N24" s="6">
        <v>0</v>
      </c>
      <c r="O24" s="6">
        <v>184</v>
      </c>
      <c r="Q24" s="21">
        <f t="shared" si="4"/>
        <v>0</v>
      </c>
      <c r="R24" s="6">
        <f t="shared" si="5"/>
        <v>0</v>
      </c>
      <c r="S24" s="6">
        <f t="shared" si="6"/>
        <v>0</v>
      </c>
      <c r="T24" s="6"/>
      <c r="U24" s="6">
        <v>0</v>
      </c>
      <c r="V24" s="6"/>
      <c r="W24" s="6"/>
      <c r="X24" s="21">
        <f t="shared" si="7"/>
        <v>0</v>
      </c>
      <c r="Y24" s="6">
        <f t="shared" si="8"/>
        <v>0</v>
      </c>
      <c r="Z24" s="6">
        <f t="shared" si="9"/>
        <v>0</v>
      </c>
      <c r="AA24" s="6"/>
      <c r="AB24" s="6">
        <v>0</v>
      </c>
      <c r="AC24" s="6"/>
      <c r="AD24" s="6">
        <v>0</v>
      </c>
      <c r="AE24" s="21">
        <f t="shared" si="10"/>
        <v>0</v>
      </c>
      <c r="AF24" s="6">
        <f t="shared" si="11"/>
        <v>0</v>
      </c>
      <c r="AG24" s="6">
        <f t="shared" si="12"/>
        <v>0</v>
      </c>
      <c r="AH24" s="6"/>
      <c r="AI24" s="6">
        <v>0</v>
      </c>
      <c r="AJ24" s="6"/>
      <c r="AK24" s="6"/>
      <c r="AL24" s="21">
        <f t="shared" si="13"/>
        <v>0</v>
      </c>
      <c r="AM24" s="6">
        <f t="shared" si="14"/>
        <v>0</v>
      </c>
      <c r="AN24" s="6">
        <f t="shared" si="15"/>
        <v>0</v>
      </c>
      <c r="AO24" s="6"/>
      <c r="AP24" s="6"/>
      <c r="AQ24" s="6"/>
      <c r="AR24" s="6"/>
      <c r="AS24" s="6">
        <v>2000</v>
      </c>
      <c r="AU24" s="21">
        <f t="shared" si="16"/>
        <v>2000</v>
      </c>
      <c r="AV24" s="6">
        <f t="shared" si="17"/>
        <v>0</v>
      </c>
      <c r="AW24" s="6">
        <f>MROUND(((AU24*1)/100),1)</f>
        <v>20</v>
      </c>
      <c r="AX24" s="6"/>
      <c r="AY24" s="6"/>
      <c r="AZ24" s="6">
        <v>20</v>
      </c>
      <c r="BA24" s="5">
        <v>20</v>
      </c>
      <c r="BB24" s="21">
        <f t="shared" si="19"/>
        <v>2020</v>
      </c>
      <c r="BC24" s="6">
        <f t="shared" si="20"/>
        <v>480</v>
      </c>
      <c r="BD24" s="6">
        <f>MROUND(((BB24*1)/100),1)</f>
        <v>20</v>
      </c>
      <c r="BE24" s="5"/>
      <c r="BF24" s="5"/>
      <c r="BG24" s="6">
        <v>500</v>
      </c>
      <c r="BH24" s="6">
        <v>0</v>
      </c>
      <c r="BI24" s="21">
        <f t="shared" si="22"/>
        <v>1540</v>
      </c>
      <c r="BJ24" s="6">
        <f t="shared" si="23"/>
        <v>0</v>
      </c>
      <c r="BK24" s="6">
        <f>MROUND(((BI24*1)/100),1)</f>
        <v>15</v>
      </c>
      <c r="BL24" s="5"/>
      <c r="BM24" s="5"/>
      <c r="BN24" s="6">
        <v>15</v>
      </c>
      <c r="BO24" s="5">
        <v>15</v>
      </c>
      <c r="BP24" s="21">
        <f t="shared" si="25"/>
        <v>1555</v>
      </c>
      <c r="BQ24" s="6">
        <f t="shared" si="26"/>
        <v>484</v>
      </c>
      <c r="BR24" s="6">
        <f>MROUND(((BP24*1)/100),1)</f>
        <v>16</v>
      </c>
      <c r="BS24" s="5"/>
      <c r="BT24" s="5"/>
      <c r="BU24" s="6">
        <v>500</v>
      </c>
      <c r="BV24" s="5"/>
      <c r="BW24" s="21">
        <f t="shared" si="28"/>
        <v>1071</v>
      </c>
      <c r="BX24" s="6">
        <f t="shared" si="29"/>
        <v>1071</v>
      </c>
      <c r="BY24" s="6">
        <f>MROUND(((BW24*1)/100),1)</f>
        <v>11</v>
      </c>
      <c r="BZ24" s="5"/>
      <c r="CA24" s="5"/>
      <c r="CB24" s="5">
        <v>1082</v>
      </c>
      <c r="CC24" s="5"/>
      <c r="CD24" s="21">
        <f t="shared" si="31"/>
        <v>0</v>
      </c>
      <c r="CE24" s="6">
        <f t="shared" si="32"/>
        <v>0</v>
      </c>
      <c r="CF24" s="6">
        <f t="shared" si="33"/>
        <v>0</v>
      </c>
      <c r="CG24" s="5"/>
      <c r="CH24" s="5"/>
      <c r="CI24" s="5"/>
      <c r="CJ24" s="5"/>
      <c r="CK24" s="2" t="s">
        <v>41</v>
      </c>
      <c r="CL24" s="14">
        <f t="shared" si="34"/>
        <v>0</v>
      </c>
      <c r="CM24" s="14">
        <v>0</v>
      </c>
      <c r="CN24" s="14">
        <v>0</v>
      </c>
      <c r="CO24" s="14"/>
      <c r="CP24" s="3">
        <v>0</v>
      </c>
      <c r="CQ24" s="14">
        <f t="shared" si="38"/>
        <v>0</v>
      </c>
      <c r="CR24" s="3">
        <f t="shared" si="35"/>
        <v>0</v>
      </c>
      <c r="CS24" s="41">
        <f t="shared" si="36"/>
        <v>0</v>
      </c>
      <c r="CT24" s="14">
        <v>0</v>
      </c>
      <c r="CU24" s="14">
        <v>0</v>
      </c>
      <c r="CV24" s="14">
        <v>0</v>
      </c>
      <c r="CW24" s="14">
        <v>0</v>
      </c>
      <c r="CX24" s="14">
        <v>6000</v>
      </c>
    </row>
    <row r="25" spans="1:102">
      <c r="B25" s="5" t="s">
        <v>42</v>
      </c>
      <c r="C25" s="6">
        <v>21230</v>
      </c>
      <c r="D25" s="6">
        <f t="shared" si="0"/>
        <v>1788</v>
      </c>
      <c r="E25" s="6">
        <f>MROUND(((C25*1)/100),1)</f>
        <v>212</v>
      </c>
      <c r="F25" s="6"/>
      <c r="G25" s="6"/>
      <c r="H25" s="6">
        <v>2000</v>
      </c>
      <c r="I25" s="21"/>
      <c r="J25" s="21">
        <f t="shared" si="2"/>
        <v>19442</v>
      </c>
      <c r="K25" s="6">
        <f t="shared" si="3"/>
        <v>1806</v>
      </c>
      <c r="L25" s="6">
        <f>MROUND(((J25*1)/100),1)</f>
        <v>194</v>
      </c>
      <c r="M25" s="6"/>
      <c r="N25" s="6"/>
      <c r="O25" s="6">
        <v>2000</v>
      </c>
      <c r="P25" s="6"/>
      <c r="Q25" s="21">
        <f t="shared" si="4"/>
        <v>17636</v>
      </c>
      <c r="R25" s="6">
        <f t="shared" si="5"/>
        <v>1824</v>
      </c>
      <c r="S25" s="6">
        <f>MROUND(((Q25*1)/100),1)</f>
        <v>176</v>
      </c>
      <c r="T25" s="6"/>
      <c r="U25" s="6"/>
      <c r="V25" s="6">
        <v>2000</v>
      </c>
      <c r="W25" s="6"/>
      <c r="X25" s="21">
        <f t="shared" si="7"/>
        <v>15812</v>
      </c>
      <c r="Y25" s="6">
        <f t="shared" si="8"/>
        <v>1842</v>
      </c>
      <c r="Z25" s="6">
        <f>MROUND(((X25*1)/100),1)</f>
        <v>158</v>
      </c>
      <c r="AA25" s="6"/>
      <c r="AB25" s="6"/>
      <c r="AC25" s="6">
        <v>2000</v>
      </c>
      <c r="AD25" s="6"/>
      <c r="AE25" s="21">
        <f t="shared" si="10"/>
        <v>13970</v>
      </c>
      <c r="AF25" s="6">
        <f t="shared" si="11"/>
        <v>1860</v>
      </c>
      <c r="AG25" s="6">
        <f>MROUND(((AE25*1)/100),1)</f>
        <v>140</v>
      </c>
      <c r="AH25" s="6"/>
      <c r="AI25" s="6"/>
      <c r="AJ25" s="5">
        <v>2000</v>
      </c>
      <c r="AK25" s="5"/>
      <c r="AL25" s="21">
        <f t="shared" si="13"/>
        <v>12110</v>
      </c>
      <c r="AM25" s="6">
        <f t="shared" ref="AM25" si="39">AQ25-(AN25+AO25+AP25)</f>
        <v>1879</v>
      </c>
      <c r="AN25" s="6">
        <f>MROUND(((AL25*1)/100),1)</f>
        <v>121</v>
      </c>
      <c r="AO25" s="6"/>
      <c r="AP25" s="6"/>
      <c r="AQ25" s="5">
        <v>2000</v>
      </c>
      <c r="AR25" s="5"/>
      <c r="AS25" s="5">
        <v>0</v>
      </c>
      <c r="AU25" s="21">
        <f t="shared" si="16"/>
        <v>10231</v>
      </c>
      <c r="AV25" s="6">
        <f t="shared" ref="AV25" si="40">AZ25-(AW25+AX25+AY25)</f>
        <v>1898</v>
      </c>
      <c r="AW25" s="6">
        <f>MROUND(((AU25*1)/100),1)</f>
        <v>102</v>
      </c>
      <c r="AX25" s="6"/>
      <c r="AY25" s="6"/>
      <c r="AZ25" s="5">
        <v>2000</v>
      </c>
      <c r="BA25" s="5">
        <v>0</v>
      </c>
      <c r="BB25" s="21">
        <f t="shared" si="19"/>
        <v>8333</v>
      </c>
      <c r="BC25" s="6">
        <f t="shared" si="20"/>
        <v>0</v>
      </c>
      <c r="BD25" s="6">
        <f>MROUND(((BB25*1)/100),1)</f>
        <v>83</v>
      </c>
      <c r="BE25" s="5"/>
      <c r="BF25" s="5"/>
      <c r="BG25" s="5">
        <v>83</v>
      </c>
      <c r="BH25" s="5">
        <v>83</v>
      </c>
      <c r="BI25" s="21">
        <f>BB25-BC25+BH25</f>
        <v>8416</v>
      </c>
      <c r="BJ25" s="6">
        <f t="shared" si="23"/>
        <v>3916</v>
      </c>
      <c r="BK25" s="6">
        <f>MROUND(((BI25*1)/100),1)</f>
        <v>84</v>
      </c>
      <c r="BL25" s="5"/>
      <c r="BM25" s="5"/>
      <c r="BN25" s="5">
        <v>4000</v>
      </c>
      <c r="BO25" s="5">
        <v>0</v>
      </c>
      <c r="BP25" s="21">
        <f t="shared" si="25"/>
        <v>4500</v>
      </c>
      <c r="BQ25" s="6">
        <f t="shared" si="26"/>
        <v>0</v>
      </c>
      <c r="BR25" s="6">
        <f>MROUND(((BP25*1)/100),1)</f>
        <v>45</v>
      </c>
      <c r="BS25" s="5"/>
      <c r="BT25" s="5"/>
      <c r="BU25" s="5">
        <v>45</v>
      </c>
      <c r="BV25" s="5">
        <v>45</v>
      </c>
      <c r="BW25" s="21">
        <f t="shared" si="28"/>
        <v>4545</v>
      </c>
      <c r="BX25" s="6">
        <f t="shared" si="29"/>
        <v>0</v>
      </c>
      <c r="BY25" s="6">
        <f>MROUND(((BW25*1)/100),1)</f>
        <v>45</v>
      </c>
      <c r="BZ25" s="5"/>
      <c r="CA25" s="5"/>
      <c r="CB25" s="5">
        <v>45</v>
      </c>
      <c r="CC25" s="5">
        <v>45</v>
      </c>
      <c r="CD25" s="21">
        <f t="shared" si="31"/>
        <v>4590</v>
      </c>
      <c r="CE25" s="6">
        <f t="shared" si="32"/>
        <v>4590</v>
      </c>
      <c r="CF25" s="6">
        <f>MROUND(((CD25*1)/100),1)</f>
        <v>46</v>
      </c>
      <c r="CG25" s="5"/>
      <c r="CH25" s="5"/>
      <c r="CI25" s="5">
        <v>4636</v>
      </c>
      <c r="CJ25" s="5"/>
      <c r="CK25" s="5" t="s">
        <v>42</v>
      </c>
      <c r="CL25" s="14">
        <f t="shared" si="34"/>
        <v>0</v>
      </c>
      <c r="CM25" s="14">
        <v>0</v>
      </c>
      <c r="CN25" s="14">
        <v>0</v>
      </c>
      <c r="CO25" s="14"/>
      <c r="CP25" s="3">
        <v>0</v>
      </c>
      <c r="CQ25" s="14">
        <f t="shared" si="38"/>
        <v>0</v>
      </c>
      <c r="CR25" s="3">
        <f t="shared" si="35"/>
        <v>0</v>
      </c>
      <c r="CS25" s="41">
        <f t="shared" si="36"/>
        <v>0</v>
      </c>
      <c r="CT25" s="14">
        <v>10000</v>
      </c>
      <c r="CU25" s="14">
        <v>0</v>
      </c>
      <c r="CV25" s="14">
        <v>0</v>
      </c>
      <c r="CW25" s="14">
        <v>0</v>
      </c>
      <c r="CX25" s="14">
        <v>0</v>
      </c>
    </row>
    <row r="26" spans="1:102" ht="18.75">
      <c r="B26" s="5"/>
      <c r="C26" s="10">
        <f>SUM(C3:C25)</f>
        <v>890221</v>
      </c>
      <c r="D26" s="7">
        <f>SUM(D3:D25)</f>
        <v>45545</v>
      </c>
      <c r="E26" s="8">
        <f>SUM(E3:E25)</f>
        <v>4545</v>
      </c>
      <c r="F26" s="7">
        <f>SUM(F3:F25)</f>
        <v>12499</v>
      </c>
      <c r="G26" s="7">
        <f>SUM(G3:G25)</f>
        <v>7500</v>
      </c>
      <c r="H26" s="9">
        <v>93178</v>
      </c>
      <c r="I26" s="17">
        <f t="shared" ref="I26:N26" si="41">SUM(I3:I25)</f>
        <v>52700</v>
      </c>
      <c r="J26" s="17">
        <f t="shared" si="41"/>
        <v>897376</v>
      </c>
      <c r="K26" s="18">
        <f t="shared" si="41"/>
        <v>71622</v>
      </c>
      <c r="L26" s="19">
        <f t="shared" si="41"/>
        <v>4585</v>
      </c>
      <c r="M26" s="18">
        <f t="shared" si="41"/>
        <v>13700</v>
      </c>
      <c r="N26" s="18">
        <f t="shared" si="41"/>
        <v>7500</v>
      </c>
      <c r="O26" s="20">
        <v>91050</v>
      </c>
      <c r="P26" s="7">
        <f>SUM(P3:P25)</f>
        <v>25523</v>
      </c>
      <c r="Q26" s="21">
        <v>0</v>
      </c>
      <c r="R26" s="5"/>
      <c r="S26" s="6">
        <f t="shared" ref="S26" si="42">MROUND(((Q26*0.5)/100),1)</f>
        <v>0</v>
      </c>
      <c r="T26" s="5"/>
      <c r="U26" s="5"/>
      <c r="V26" s="5"/>
      <c r="W26" s="5"/>
      <c r="X26" s="21">
        <f t="shared" ref="X26:AO26" si="43">SUM(X3:X25)</f>
        <v>815922</v>
      </c>
      <c r="Y26" s="6">
        <f t="shared" si="43"/>
        <v>149541</v>
      </c>
      <c r="Z26" s="6">
        <f t="shared" si="43"/>
        <v>4159</v>
      </c>
      <c r="AA26" s="6">
        <f t="shared" si="43"/>
        <v>13700</v>
      </c>
      <c r="AB26" s="6">
        <f t="shared" si="43"/>
        <v>7500</v>
      </c>
      <c r="AC26" s="6">
        <f t="shared" si="43"/>
        <v>174900</v>
      </c>
      <c r="AD26" s="6">
        <f t="shared" si="43"/>
        <v>128000</v>
      </c>
      <c r="AE26" s="21">
        <f t="shared" si="43"/>
        <v>794381</v>
      </c>
      <c r="AF26" s="6">
        <f t="shared" si="43"/>
        <v>132187</v>
      </c>
      <c r="AG26" s="24">
        <f t="shared" si="43"/>
        <v>4041</v>
      </c>
      <c r="AH26" s="6">
        <f t="shared" si="43"/>
        <v>13772</v>
      </c>
      <c r="AI26" s="24">
        <f t="shared" si="43"/>
        <v>7500</v>
      </c>
      <c r="AJ26" s="25">
        <f t="shared" si="43"/>
        <v>157500</v>
      </c>
      <c r="AK26" s="6">
        <f t="shared" si="43"/>
        <v>0</v>
      </c>
      <c r="AL26" s="21">
        <f t="shared" si="43"/>
        <v>662194</v>
      </c>
      <c r="AM26" s="6">
        <f t="shared" si="43"/>
        <v>116129</v>
      </c>
      <c r="AN26" s="24">
        <f t="shared" si="43"/>
        <v>3371</v>
      </c>
      <c r="AO26" s="6">
        <f t="shared" si="43"/>
        <v>13700</v>
      </c>
      <c r="AP26" s="24">
        <v>0</v>
      </c>
      <c r="AQ26" s="25">
        <f>SUM(AQ3:AQ25)</f>
        <v>133200</v>
      </c>
      <c r="AR26" s="6">
        <f>SUM(AR3:AR25)</f>
        <v>0</v>
      </c>
      <c r="AS26" s="6">
        <f>SUM(AS3:AS25)</f>
        <v>9500</v>
      </c>
      <c r="AU26" s="27">
        <v>1055883</v>
      </c>
      <c r="AV26" s="14">
        <f>SUM(AV3:AV25)</f>
        <v>22825</v>
      </c>
      <c r="AW26" s="14">
        <f>SUM(AW3:AW25)</f>
        <v>2840</v>
      </c>
      <c r="AX26" s="14">
        <f>SUM(AX3:AX25)</f>
        <v>13700</v>
      </c>
      <c r="AY26" s="14">
        <v>0</v>
      </c>
      <c r="AZ26" s="14">
        <f>SUM(AZ3:BA25)</f>
        <v>71830</v>
      </c>
      <c r="BA26" s="14">
        <f>SUM(BA3:BA25)</f>
        <v>32465</v>
      </c>
      <c r="BB26" s="21">
        <v>1098483</v>
      </c>
      <c r="BC26" s="6">
        <f t="shared" ref="BC26:BM26" si="44">SUM(BC3:BC25)</f>
        <v>43077</v>
      </c>
      <c r="BD26" s="24">
        <f t="shared" si="44"/>
        <v>2876</v>
      </c>
      <c r="BE26" s="6">
        <f t="shared" si="44"/>
        <v>13700</v>
      </c>
      <c r="BF26" s="24">
        <f t="shared" si="44"/>
        <v>35000</v>
      </c>
      <c r="BG26" s="25">
        <f t="shared" si="44"/>
        <v>94653</v>
      </c>
      <c r="BH26" s="6">
        <f t="shared" si="44"/>
        <v>73453</v>
      </c>
      <c r="BI26" s="21">
        <f t="shared" si="44"/>
        <v>595581</v>
      </c>
      <c r="BJ26" s="6">
        <f t="shared" si="44"/>
        <v>66860</v>
      </c>
      <c r="BK26" s="24">
        <f t="shared" si="44"/>
        <v>3028</v>
      </c>
      <c r="BL26" s="6">
        <f t="shared" si="44"/>
        <v>13700</v>
      </c>
      <c r="BM26" s="24">
        <f t="shared" si="44"/>
        <v>20000</v>
      </c>
      <c r="BN26" s="25">
        <v>73772</v>
      </c>
      <c r="BO26" s="6">
        <f t="shared" ref="BO26:CA26" si="45">SUM(BO3:BO25)</f>
        <v>4963</v>
      </c>
      <c r="BP26" s="21">
        <f t="shared" si="45"/>
        <v>533684</v>
      </c>
      <c r="BQ26" s="6">
        <f t="shared" si="45"/>
        <v>40829</v>
      </c>
      <c r="BR26" s="24">
        <f t="shared" si="45"/>
        <v>2700</v>
      </c>
      <c r="BS26" s="6">
        <f t="shared" si="45"/>
        <v>13738</v>
      </c>
      <c r="BT26" s="24">
        <f t="shared" si="45"/>
        <v>20000</v>
      </c>
      <c r="BU26" s="25">
        <f t="shared" si="45"/>
        <v>77267</v>
      </c>
      <c r="BV26" s="6">
        <f t="shared" si="45"/>
        <v>448166</v>
      </c>
      <c r="BW26" s="21">
        <f t="shared" si="45"/>
        <v>941021</v>
      </c>
      <c r="BX26" s="6">
        <f t="shared" si="45"/>
        <v>38212</v>
      </c>
      <c r="BY26" s="24">
        <f t="shared" si="45"/>
        <v>4735</v>
      </c>
      <c r="BZ26" s="6">
        <f t="shared" si="45"/>
        <v>13700</v>
      </c>
      <c r="CA26" s="24">
        <f t="shared" si="45"/>
        <v>20000</v>
      </c>
      <c r="CB26" s="25">
        <v>58044</v>
      </c>
      <c r="CC26" s="6">
        <f t="shared" ref="CC26:CH26" si="46">SUM(CC3:CC25)</f>
        <v>14665</v>
      </c>
      <c r="CD26" s="21">
        <f t="shared" si="46"/>
        <v>917474</v>
      </c>
      <c r="CE26" s="6">
        <f t="shared" si="46"/>
        <v>53129</v>
      </c>
      <c r="CF26" s="24">
        <f t="shared" si="46"/>
        <v>4611</v>
      </c>
      <c r="CG26" s="6">
        <f t="shared" si="46"/>
        <v>13700</v>
      </c>
      <c r="CH26" s="24">
        <f t="shared" si="46"/>
        <v>20000</v>
      </c>
      <c r="CI26" s="25">
        <v>51396</v>
      </c>
      <c r="CJ26" s="6">
        <f>SUM(CJ3:CJ25)</f>
        <v>27104</v>
      </c>
      <c r="CL26" s="14">
        <f>SUM(CL3:CL25)</f>
        <v>891449</v>
      </c>
      <c r="CM26" s="14">
        <v>0</v>
      </c>
      <c r="CN26" s="14">
        <v>50000</v>
      </c>
      <c r="CO26" s="14">
        <v>85000</v>
      </c>
      <c r="CP26" s="14">
        <f>SUM(CP3:CP25)</f>
        <v>932411</v>
      </c>
      <c r="CQ26" s="14">
        <f>SUM(CQ3:CQ25)</f>
        <v>1089385</v>
      </c>
      <c r="CR26" s="3">
        <f>SUM(CR3:CR25)</f>
        <v>45745</v>
      </c>
      <c r="CS26" s="41">
        <f t="shared" si="36"/>
        <v>1135130</v>
      </c>
      <c r="CT26" s="14">
        <v>620098</v>
      </c>
      <c r="CU26" s="14">
        <v>66845</v>
      </c>
      <c r="CV26" s="14">
        <v>658232</v>
      </c>
      <c r="CW26" s="14">
        <v>1133547</v>
      </c>
      <c r="CX26" s="14">
        <v>300872</v>
      </c>
    </row>
    <row r="27" spans="1:102" ht="18.75">
      <c r="Q27" s="21">
        <f t="shared" ref="Q27:W27" si="47">SUM(Q3:Q26)</f>
        <v>851277</v>
      </c>
      <c r="R27" s="6">
        <f t="shared" si="47"/>
        <v>52355</v>
      </c>
      <c r="S27" s="24">
        <f t="shared" si="47"/>
        <v>4345</v>
      </c>
      <c r="T27" s="6">
        <f t="shared" si="47"/>
        <v>13700</v>
      </c>
      <c r="U27" s="24">
        <f t="shared" si="47"/>
        <v>7500</v>
      </c>
      <c r="V27" s="25">
        <f t="shared" si="47"/>
        <v>77900</v>
      </c>
      <c r="W27" s="6">
        <f t="shared" si="47"/>
        <v>17000</v>
      </c>
      <c r="CQ27" s="3">
        <v>0</v>
      </c>
    </row>
    <row r="28" spans="1:102">
      <c r="C28" s="3">
        <v>5477</v>
      </c>
      <c r="AJ28" s="14">
        <v>0</v>
      </c>
      <c r="AQ28" s="14">
        <v>0</v>
      </c>
      <c r="BG28" s="14">
        <v>0</v>
      </c>
      <c r="BM28" s="14">
        <v>0</v>
      </c>
      <c r="BU28" s="14">
        <v>0</v>
      </c>
      <c r="CB28" s="14">
        <v>0</v>
      </c>
      <c r="CH28" s="14">
        <v>0</v>
      </c>
      <c r="CP28" s="14">
        <v>1578828</v>
      </c>
      <c r="CQ28" s="14">
        <v>1313648</v>
      </c>
    </row>
    <row r="29" spans="1:102">
      <c r="G29" s="14">
        <v>0</v>
      </c>
      <c r="O29" s="14">
        <v>0</v>
      </c>
      <c r="U29" s="14">
        <v>0</v>
      </c>
      <c r="AC29" s="14">
        <v>0</v>
      </c>
    </row>
    <row r="30" spans="1:102">
      <c r="C30" s="3" t="s">
        <v>18</v>
      </c>
      <c r="D30" s="14">
        <v>620098</v>
      </c>
      <c r="H30" s="3" t="s">
        <v>80</v>
      </c>
      <c r="I30" s="15" t="s">
        <v>81</v>
      </c>
      <c r="J30" s="3" t="s">
        <v>82</v>
      </c>
      <c r="CM30" s="14">
        <v>0</v>
      </c>
      <c r="CP30" s="27">
        <v>1879700</v>
      </c>
    </row>
    <row r="31" spans="1:102" ht="15.75" thickBot="1">
      <c r="H31" s="14">
        <f>F26+M26+T27+AA26+AH26+AO26+AX26+BE26+BL26+BS26+BZ26+CG26</f>
        <v>163309</v>
      </c>
      <c r="I31" s="27">
        <f>D26+K26+R27+Y26+AF26+AM26+AV26+BC26+BJ26+BQ26+BX26+CE26</f>
        <v>832311</v>
      </c>
      <c r="J31" s="14">
        <f>I26+P26+W27+AD26+AK26+AS26+BA26+BH26+BO26+BV26+CC26+CJ26</f>
        <v>833539</v>
      </c>
      <c r="K31" s="14"/>
      <c r="O31" s="29">
        <f>M35-P31</f>
        <v>0</v>
      </c>
      <c r="P31" s="14">
        <f>CQ26</f>
        <v>1089385</v>
      </c>
      <c r="CM31" s="14">
        <v>0</v>
      </c>
    </row>
    <row r="32" spans="1:102" ht="39.75" customHeight="1">
      <c r="B32" s="181" t="s">
        <v>95</v>
      </c>
      <c r="C32" s="182"/>
      <c r="D32" s="182"/>
      <c r="E32" s="182"/>
      <c r="F32" s="182"/>
      <c r="G32" s="183"/>
      <c r="H32" s="14"/>
      <c r="I32" s="27"/>
      <c r="J32" s="14"/>
      <c r="K32" s="184" t="s">
        <v>96</v>
      </c>
      <c r="L32" s="185"/>
      <c r="M32" s="185"/>
      <c r="N32" s="185"/>
      <c r="O32" s="185"/>
      <c r="P32" s="185"/>
      <c r="Q32" s="185"/>
      <c r="R32" s="185"/>
      <c r="S32" s="186"/>
      <c r="CM32" s="14">
        <v>0</v>
      </c>
      <c r="CP32" s="14">
        <v>1578828</v>
      </c>
      <c r="CS32" s="40">
        <f>50400/12000</f>
        <v>4.2</v>
      </c>
    </row>
    <row r="33" spans="2:94" ht="25.5" customHeight="1" thickBot="1">
      <c r="B33" s="58" t="s">
        <v>92</v>
      </c>
      <c r="C33" s="58" t="s">
        <v>45</v>
      </c>
      <c r="D33" s="52"/>
      <c r="E33" s="52" t="s">
        <v>93</v>
      </c>
      <c r="F33" s="52" t="s">
        <v>45</v>
      </c>
      <c r="G33" s="53"/>
      <c r="H33" s="14"/>
      <c r="I33" s="27"/>
      <c r="J33" s="14"/>
      <c r="K33" s="44"/>
      <c r="L33" s="46"/>
      <c r="M33" s="46"/>
      <c r="N33" s="46"/>
      <c r="O33" s="46"/>
      <c r="P33" s="46"/>
      <c r="Q33" s="46"/>
      <c r="R33" s="46"/>
      <c r="S33" s="47"/>
      <c r="CM33" s="14"/>
      <c r="CP33" s="14"/>
    </row>
    <row r="34" spans="2:94">
      <c r="B34" s="5" t="s">
        <v>84</v>
      </c>
      <c r="C34" s="6">
        <f>H31+F37</f>
        <v>212933</v>
      </c>
      <c r="D34" s="5"/>
      <c r="E34" s="5"/>
      <c r="F34" s="5"/>
      <c r="G34" s="47"/>
      <c r="K34" s="187" t="s">
        <v>44</v>
      </c>
      <c r="L34" s="188"/>
      <c r="M34" s="72" t="s">
        <v>45</v>
      </c>
      <c r="N34" s="73"/>
      <c r="O34" s="74"/>
      <c r="P34" s="72" t="s">
        <v>46</v>
      </c>
      <c r="Q34" s="73"/>
      <c r="R34" s="72" t="s">
        <v>45</v>
      </c>
      <c r="S34" s="75"/>
    </row>
    <row r="35" spans="2:94" ht="19.5">
      <c r="B35" s="5" t="s">
        <v>73</v>
      </c>
      <c r="C35" s="6">
        <f>G26+N26+U27+AB26+AI26+AP26+AY26+BF26+BT26+CA26+CH26+BM26</f>
        <v>152500</v>
      </c>
      <c r="D35" s="5"/>
      <c r="E35" s="5" t="s">
        <v>47</v>
      </c>
      <c r="F35" s="6">
        <f>J31+45</f>
        <v>833584</v>
      </c>
      <c r="G35" s="48"/>
      <c r="K35" s="76" t="s">
        <v>48</v>
      </c>
      <c r="L35" s="67"/>
      <c r="M35" s="68">
        <f>M37+(M38-M39)</f>
        <v>1089385</v>
      </c>
      <c r="N35" s="67"/>
      <c r="O35" s="5"/>
      <c r="P35" s="66" t="s">
        <v>49</v>
      </c>
      <c r="Q35" s="67"/>
      <c r="R35" s="68">
        <f>R36+(R37-R38)</f>
        <v>151983</v>
      </c>
      <c r="S35" s="77"/>
      <c r="T35" s="101" t="s">
        <v>110</v>
      </c>
    </row>
    <row r="36" spans="2:94">
      <c r="B36" s="5" t="s">
        <v>50</v>
      </c>
      <c r="C36" s="6">
        <f>I31</f>
        <v>832311</v>
      </c>
      <c r="D36" s="6"/>
      <c r="E36" s="55" t="s">
        <v>74</v>
      </c>
      <c r="F36" s="57">
        <v>215000</v>
      </c>
      <c r="G36" s="47"/>
      <c r="H36" s="31"/>
      <c r="K36" s="78"/>
      <c r="L36" s="65"/>
      <c r="M36" s="64"/>
      <c r="N36" s="65"/>
      <c r="O36" s="5"/>
      <c r="P36" s="64" t="s">
        <v>52</v>
      </c>
      <c r="Q36" s="65"/>
      <c r="R36" s="69">
        <v>4645</v>
      </c>
      <c r="S36" s="79"/>
    </row>
    <row r="37" spans="2:94">
      <c r="B37" s="5" t="s">
        <v>53</v>
      </c>
      <c r="C37" s="24">
        <f>E26+L26+S27+Z26+AG26+AN26+AW26+BD26+BK26+BR26+BY26+CF26</f>
        <v>45836</v>
      </c>
      <c r="D37" s="5"/>
      <c r="E37" s="55" t="s">
        <v>75</v>
      </c>
      <c r="F37" s="57">
        <v>49624</v>
      </c>
      <c r="G37" s="47"/>
      <c r="H37" s="30"/>
      <c r="K37" s="78" t="s">
        <v>52</v>
      </c>
      <c r="L37" s="65"/>
      <c r="M37" s="69">
        <v>882787</v>
      </c>
      <c r="N37" s="70"/>
      <c r="O37" s="5"/>
      <c r="P37" s="64" t="s">
        <v>56</v>
      </c>
      <c r="Q37" s="65"/>
      <c r="R37" s="69">
        <f>F39</f>
        <v>648738</v>
      </c>
      <c r="S37" s="79"/>
    </row>
    <row r="38" spans="2:94">
      <c r="B38" s="5"/>
      <c r="C38" s="5"/>
      <c r="D38" s="5"/>
      <c r="E38" s="55" t="s">
        <v>57</v>
      </c>
      <c r="F38" s="57">
        <v>6335</v>
      </c>
      <c r="G38" s="47"/>
      <c r="H38" s="30"/>
      <c r="K38" s="78" t="s">
        <v>58</v>
      </c>
      <c r="L38" s="65"/>
      <c r="M38" s="69">
        <f>C34</f>
        <v>212933</v>
      </c>
      <c r="N38" s="70"/>
      <c r="O38" s="5"/>
      <c r="P38" s="64" t="s">
        <v>59</v>
      </c>
      <c r="Q38" s="65"/>
      <c r="R38" s="69">
        <f>C40</f>
        <v>501400</v>
      </c>
      <c r="S38" s="79"/>
    </row>
    <row r="39" spans="2:94" ht="19.5">
      <c r="B39" s="5" t="s">
        <v>60</v>
      </c>
      <c r="C39" s="5"/>
      <c r="D39" s="5"/>
      <c r="E39" s="55" t="s">
        <v>76</v>
      </c>
      <c r="F39" s="57">
        <v>648738</v>
      </c>
      <c r="G39" s="47"/>
      <c r="H39" s="30"/>
      <c r="K39" s="78" t="s">
        <v>62</v>
      </c>
      <c r="L39" s="65"/>
      <c r="M39" s="69">
        <f>F38</f>
        <v>6335</v>
      </c>
      <c r="N39" s="70"/>
      <c r="O39" s="5"/>
      <c r="P39" s="66" t="s">
        <v>11</v>
      </c>
      <c r="Q39" s="67"/>
      <c r="R39" s="68">
        <f>R40+(R41-R42)</f>
        <v>100000</v>
      </c>
      <c r="S39" s="77"/>
      <c r="T39" s="101" t="s">
        <v>110</v>
      </c>
    </row>
    <row r="40" spans="2:94">
      <c r="B40" s="55" t="s">
        <v>85</v>
      </c>
      <c r="C40" s="56">
        <v>501400</v>
      </c>
      <c r="D40" s="56"/>
      <c r="E40" s="55" t="s">
        <v>63</v>
      </c>
      <c r="F40" s="57">
        <v>-8301</v>
      </c>
      <c r="G40" s="47"/>
      <c r="H40" s="30"/>
      <c r="I40" s="15"/>
      <c r="K40" s="78"/>
      <c r="L40" s="65"/>
      <c r="M40" s="69"/>
      <c r="N40" s="70"/>
      <c r="O40" s="5"/>
      <c r="P40" s="64" t="s">
        <v>52</v>
      </c>
      <c r="Q40" s="65"/>
      <c r="R40" s="69">
        <v>37500</v>
      </c>
      <c r="S40" s="79"/>
    </row>
    <row r="41" spans="2:94">
      <c r="B41" s="55" t="s">
        <v>64</v>
      </c>
      <c r="C41" s="57">
        <v>0</v>
      </c>
      <c r="D41" s="57"/>
      <c r="E41" s="55" t="s">
        <v>65</v>
      </c>
      <c r="F41" s="57">
        <v>0</v>
      </c>
      <c r="G41" s="47"/>
      <c r="H41" s="30"/>
      <c r="I41" s="15"/>
      <c r="K41" s="78" t="s">
        <v>66</v>
      </c>
      <c r="L41" s="65"/>
      <c r="M41" s="69"/>
      <c r="N41" s="70"/>
      <c r="O41" s="5"/>
      <c r="P41" s="64" t="s">
        <v>67</v>
      </c>
      <c r="Q41" s="65"/>
      <c r="R41" s="69">
        <f>F36</f>
        <v>215000</v>
      </c>
      <c r="S41" s="79"/>
    </row>
    <row r="42" spans="2:94">
      <c r="B42" s="5"/>
      <c r="C42" s="5"/>
      <c r="D42" s="5"/>
      <c r="E42" s="55" t="s">
        <v>72</v>
      </c>
      <c r="F42" s="57">
        <v>0</v>
      </c>
      <c r="G42" s="47"/>
      <c r="I42" s="15"/>
      <c r="K42" s="78"/>
      <c r="L42" s="65"/>
      <c r="M42" s="69">
        <v>45746</v>
      </c>
      <c r="N42" s="70"/>
      <c r="O42" s="5"/>
      <c r="P42" s="64" t="s">
        <v>58</v>
      </c>
      <c r="Q42" s="65"/>
      <c r="R42" s="69">
        <f>C35</f>
        <v>152500</v>
      </c>
      <c r="S42" s="79"/>
      <c r="W42" s="3" t="s">
        <v>13</v>
      </c>
    </row>
    <row r="43" spans="2:94" ht="15.75">
      <c r="B43" s="59" t="s">
        <v>94</v>
      </c>
      <c r="C43" s="60">
        <f>SUM(C34:C42)</f>
        <v>1744980</v>
      </c>
      <c r="D43" s="59"/>
      <c r="E43" s="61" t="s">
        <v>94</v>
      </c>
      <c r="F43" s="60">
        <f>SUM(F35:F42)</f>
        <v>1744980</v>
      </c>
      <c r="G43" s="47"/>
      <c r="I43" s="15"/>
      <c r="K43" s="78"/>
      <c r="L43" s="65"/>
      <c r="M43" s="69"/>
      <c r="N43" s="70"/>
      <c r="O43" s="5"/>
      <c r="P43" s="66" t="s">
        <v>7</v>
      </c>
      <c r="Q43" s="67"/>
      <c r="R43" s="71">
        <f>R44+(R45-R46)</f>
        <v>891449</v>
      </c>
      <c r="S43" s="80"/>
      <c r="U43" s="29">
        <f>R48-M48</f>
        <v>0</v>
      </c>
      <c r="W43" s="14">
        <f>CL26</f>
        <v>891449</v>
      </c>
    </row>
    <row r="44" spans="2:94">
      <c r="B44" s="44"/>
      <c r="C44" s="46"/>
      <c r="D44" s="46"/>
      <c r="E44" s="46"/>
      <c r="F44" s="46"/>
      <c r="G44" s="47"/>
      <c r="I44" s="15"/>
      <c r="K44" s="180"/>
      <c r="L44" s="173"/>
      <c r="M44" s="174"/>
      <c r="N44" s="174"/>
      <c r="O44" s="5"/>
      <c r="P44" s="173" t="s">
        <v>52</v>
      </c>
      <c r="Q44" s="173"/>
      <c r="R44" s="174">
        <v>890176</v>
      </c>
      <c r="S44" s="175"/>
      <c r="W44" s="29">
        <f>R43-W43</f>
        <v>0</v>
      </c>
    </row>
    <row r="45" spans="2:94">
      <c r="B45" s="44"/>
      <c r="C45" s="46"/>
      <c r="D45" s="46"/>
      <c r="E45" s="46"/>
      <c r="F45" s="46"/>
      <c r="G45" s="47"/>
      <c r="K45" s="81"/>
      <c r="L45" s="63"/>
      <c r="M45" s="56"/>
      <c r="N45" s="56"/>
      <c r="O45" s="5"/>
      <c r="P45" s="173" t="s">
        <v>67</v>
      </c>
      <c r="Q45" s="173"/>
      <c r="R45" s="174">
        <f>F35</f>
        <v>833584</v>
      </c>
      <c r="S45" s="175"/>
      <c r="W45" s="15"/>
    </row>
    <row r="46" spans="2:94">
      <c r="B46" s="84" t="s">
        <v>104</v>
      </c>
      <c r="C46" s="46"/>
      <c r="D46" s="46"/>
      <c r="E46" s="46"/>
      <c r="F46" s="46"/>
      <c r="G46" s="47"/>
      <c r="K46" s="180"/>
      <c r="L46" s="173"/>
      <c r="M46" s="174"/>
      <c r="N46" s="174"/>
      <c r="O46" s="5"/>
      <c r="P46" s="173" t="s">
        <v>58</v>
      </c>
      <c r="Q46" s="173"/>
      <c r="R46" s="174">
        <f>C36</f>
        <v>832311</v>
      </c>
      <c r="S46" s="175"/>
      <c r="W46" s="29"/>
    </row>
    <row r="47" spans="2:94" ht="15.75" thickBot="1">
      <c r="B47" s="49"/>
      <c r="C47" s="50"/>
      <c r="D47" s="50"/>
      <c r="E47" s="50"/>
      <c r="F47" s="50"/>
      <c r="G47" s="51"/>
      <c r="K47" s="81"/>
      <c r="L47" s="63"/>
      <c r="M47" s="56"/>
      <c r="N47" s="56"/>
      <c r="O47" s="5"/>
      <c r="P47" s="173" t="s">
        <v>68</v>
      </c>
      <c r="Q47" s="173"/>
      <c r="R47" s="174">
        <f>F40</f>
        <v>-8301</v>
      </c>
      <c r="S47" s="175"/>
    </row>
    <row r="48" spans="2:94" ht="15.75" thickBot="1">
      <c r="K48" s="176" t="s">
        <v>12</v>
      </c>
      <c r="L48" s="177"/>
      <c r="M48" s="178">
        <f>M35+M42</f>
        <v>1135131</v>
      </c>
      <c r="N48" s="178"/>
      <c r="O48" s="82"/>
      <c r="P48" s="177" t="s">
        <v>12</v>
      </c>
      <c r="Q48" s="177"/>
      <c r="R48" s="178">
        <f>R35+R39+R43+R47</f>
        <v>1135131</v>
      </c>
      <c r="S48" s="179"/>
    </row>
    <row r="49" spans="2:10" ht="15.75">
      <c r="B49" s="99" t="s">
        <v>108</v>
      </c>
      <c r="E49" s="32"/>
    </row>
    <row r="50" spans="2:10">
      <c r="B50" s="32"/>
      <c r="E50" s="33"/>
      <c r="F50" s="30"/>
      <c r="G50" s="189" t="str">
        <f>IF(OR(M48&lt;&gt;R48,C43&lt;&gt;F43),"MIS MATCH","OK")</f>
        <v>OK</v>
      </c>
      <c r="H50" s="189"/>
      <c r="I50" s="189"/>
      <c r="J50" s="189"/>
    </row>
    <row r="51" spans="2:10" ht="18.75">
      <c r="B51" s="100" t="s">
        <v>109</v>
      </c>
      <c r="E51" s="33"/>
      <c r="F51" s="30"/>
      <c r="G51" s="189"/>
      <c r="H51" s="189"/>
      <c r="I51" s="189"/>
      <c r="J51" s="189"/>
    </row>
    <row r="52" spans="2:10">
      <c r="B52" s="32"/>
      <c r="E52" s="33"/>
      <c r="F52" s="30"/>
      <c r="G52" s="189"/>
      <c r="H52" s="189"/>
      <c r="I52" s="189"/>
      <c r="J52" s="189"/>
    </row>
    <row r="53" spans="2:10">
      <c r="B53" s="32"/>
      <c r="E53" s="33"/>
      <c r="F53" s="30"/>
      <c r="G53" s="30"/>
      <c r="H53" s="30"/>
    </row>
    <row r="54" spans="2:10">
      <c r="B54" s="33"/>
      <c r="C54" s="36"/>
      <c r="E54" s="33"/>
      <c r="F54" s="30"/>
      <c r="H54" s="30"/>
    </row>
    <row r="55" spans="2:10">
      <c r="B55" s="33"/>
      <c r="C55" s="30"/>
      <c r="E55" s="33"/>
      <c r="F55" s="30"/>
      <c r="H55" s="30"/>
    </row>
    <row r="56" spans="2:10">
      <c r="E56" s="32"/>
    </row>
  </sheetData>
  <mergeCells count="20">
    <mergeCell ref="G50:J52"/>
    <mergeCell ref="B32:G32"/>
    <mergeCell ref="K32:S32"/>
    <mergeCell ref="K34:L34"/>
    <mergeCell ref="K44:L44"/>
    <mergeCell ref="M44:N44"/>
    <mergeCell ref="P44:Q44"/>
    <mergeCell ref="R44:S44"/>
    <mergeCell ref="P45:Q45"/>
    <mergeCell ref="R45:S45"/>
    <mergeCell ref="K48:L48"/>
    <mergeCell ref="M48:N48"/>
    <mergeCell ref="P48:Q48"/>
    <mergeCell ref="R48:S48"/>
    <mergeCell ref="K46:L46"/>
    <mergeCell ref="M46:N46"/>
    <mergeCell ref="P46:Q46"/>
    <mergeCell ref="R46:S46"/>
    <mergeCell ref="P47:Q47"/>
    <mergeCell ref="R47:S47"/>
  </mergeCells>
  <conditionalFormatting sqref="G50:J52">
    <cfRule type="containsText" dxfId="11" priority="7" operator="containsText" text="OK">
      <formula>NOT(ISERROR(SEARCH("OK",G50)))</formula>
    </cfRule>
    <cfRule type="containsText" dxfId="10" priority="6" operator="containsText" text="MISMATCH">
      <formula>NOT(ISERROR(SEARCH("MISMATCH",G50)))</formula>
    </cfRule>
    <cfRule type="containsText" dxfId="9" priority="1" operator="containsText" text="MIS MATCH">
      <formula>NOT(ISERROR(SEARCH("MIS MATCH",G50)))</formula>
    </cfRule>
  </conditionalFormatting>
  <conditionalFormatting sqref="Q52">
    <cfRule type="containsText" dxfId="8" priority="5" operator="containsText" text="MIS MATCH">
      <formula>NOT(ISERROR(SEARCH("MIS MATCH",Q52)))</formula>
    </cfRule>
    <cfRule type="containsText" dxfId="7" priority="4" operator="containsText" text="MIS MATCH">
      <formula>NOT(ISERROR(SEARCH("MIS MATCH",Q52)))</formula>
    </cfRule>
  </conditionalFormatting>
  <conditionalFormatting sqref="P52">
    <cfRule type="containsText" dxfId="6" priority="3" operator="containsText" text="MIS MATCH">
      <formula>NOT(ISERROR(SEARCH("MIS MATCH",P52)))</formula>
    </cfRule>
  </conditionalFormatting>
  <conditionalFormatting sqref="L52">
    <cfRule type="containsText" dxfId="5" priority="2" operator="containsText" text="MIS MATCH">
      <formula>NOT(ISERROR(SEARCH("MIS MATCH",L52)))</formula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X55"/>
  <sheetViews>
    <sheetView topLeftCell="A22" workbookViewId="0">
      <selection activeCell="M42" sqref="M42:N42"/>
    </sheetView>
  </sheetViews>
  <sheetFormatPr defaultRowHeight="15"/>
  <cols>
    <col min="1" max="1" width="9.140625" style="3"/>
    <col min="2" max="2" width="20.140625" style="3" bestFit="1" customWidth="1"/>
    <col min="3" max="3" width="13.140625" style="3" bestFit="1" customWidth="1"/>
    <col min="4" max="4" width="10.28515625" style="3" bestFit="1" customWidth="1"/>
    <col min="5" max="5" width="19.140625" style="3" bestFit="1" customWidth="1"/>
    <col min="6" max="6" width="13.140625" style="3" bestFit="1" customWidth="1"/>
    <col min="7" max="7" width="10.140625" style="3" bestFit="1" customWidth="1"/>
    <col min="8" max="8" width="12.7109375" style="3" bestFit="1" customWidth="1"/>
    <col min="9" max="10" width="11.7109375" style="3" bestFit="1" customWidth="1"/>
    <col min="11" max="11" width="10.28515625" style="3" bestFit="1" customWidth="1"/>
    <col min="12" max="12" width="13.140625" style="3" bestFit="1" customWidth="1"/>
    <col min="13" max="13" width="9.140625" style="3"/>
    <col min="14" max="14" width="14.7109375" style="3" bestFit="1" customWidth="1"/>
    <col min="15" max="15" width="11.7109375" style="3" bestFit="1" customWidth="1"/>
    <col min="16" max="16" width="10.140625" style="3" bestFit="1" customWidth="1"/>
    <col min="17" max="17" width="11.7109375" style="3" bestFit="1" customWidth="1"/>
    <col min="18" max="18" width="10.28515625" style="3" bestFit="1" customWidth="1"/>
    <col min="19" max="19" width="13.140625" style="3" bestFit="1" customWidth="1"/>
    <col min="20" max="20" width="9.140625" style="3"/>
    <col min="21" max="21" width="14.7109375" style="3" bestFit="1" customWidth="1"/>
    <col min="22" max="22" width="12.7109375" style="3" bestFit="1" customWidth="1"/>
    <col min="23" max="24" width="11.7109375" style="3" bestFit="1" customWidth="1"/>
    <col min="25" max="25" width="10.28515625" style="3" bestFit="1" customWidth="1"/>
    <col min="26" max="26" width="13.140625" style="3" bestFit="1" customWidth="1"/>
    <col min="27" max="27" width="9.140625" style="3"/>
    <col min="28" max="28" width="14.7109375" style="3" bestFit="1" customWidth="1"/>
    <col min="29" max="30" width="10.140625" style="3" bestFit="1" customWidth="1"/>
    <col min="31" max="31" width="11.7109375" style="3" bestFit="1" customWidth="1"/>
    <col min="32" max="32" width="10.28515625" style="3" bestFit="1" customWidth="1"/>
    <col min="33" max="33" width="13.140625" style="3" bestFit="1" customWidth="1"/>
    <col min="34" max="34" width="9.140625" style="3"/>
    <col min="35" max="35" width="14.7109375" style="3" bestFit="1" customWidth="1"/>
    <col min="36" max="36" width="14.28515625" style="3" bestFit="1" customWidth="1"/>
    <col min="37" max="37" width="9.140625" style="3"/>
    <col min="38" max="39" width="11.7109375" style="3" bestFit="1" customWidth="1"/>
    <col min="40" max="40" width="13.140625" style="3" bestFit="1" customWidth="1"/>
    <col min="41" max="41" width="9.140625" style="3"/>
    <col min="42" max="42" width="14.7109375" style="3" bestFit="1" customWidth="1"/>
    <col min="43" max="43" width="14.28515625" style="3" bestFit="1" customWidth="1"/>
    <col min="44" max="44" width="10.140625" style="3" bestFit="1" customWidth="1"/>
    <col min="45" max="46" width="9.140625" style="3"/>
    <col min="47" max="47" width="11.7109375" style="3" bestFit="1" customWidth="1"/>
    <col min="48" max="48" width="10.28515625" style="3" bestFit="1" customWidth="1"/>
    <col min="49" max="49" width="13.140625" style="3" bestFit="1" customWidth="1"/>
    <col min="50" max="50" width="9.140625" style="3"/>
    <col min="51" max="51" width="14.7109375" style="3" bestFit="1" customWidth="1"/>
    <col min="52" max="52" width="10.140625" style="3" bestFit="1" customWidth="1"/>
    <col min="53" max="53" width="9.140625" style="3"/>
    <col min="54" max="54" width="11.7109375" style="3" bestFit="1" customWidth="1"/>
    <col min="55" max="55" width="10.28515625" style="3" bestFit="1" customWidth="1"/>
    <col min="56" max="56" width="13.140625" style="3" bestFit="1" customWidth="1"/>
    <col min="57" max="57" width="9.140625" style="3"/>
    <col min="58" max="58" width="14.7109375" style="3" bestFit="1" customWidth="1"/>
    <col min="59" max="59" width="14.28515625" style="3" bestFit="1" customWidth="1"/>
    <col min="60" max="60" width="10.140625" style="3" bestFit="1" customWidth="1"/>
    <col min="61" max="61" width="11.7109375" style="3" bestFit="1" customWidth="1"/>
    <col min="62" max="62" width="10.28515625" style="3" bestFit="1" customWidth="1"/>
    <col min="63" max="63" width="13.140625" style="3" bestFit="1" customWidth="1"/>
    <col min="64" max="64" width="9.140625" style="3"/>
    <col min="65" max="65" width="14.7109375" style="3" bestFit="1" customWidth="1"/>
    <col min="66" max="66" width="12.7109375" style="3" bestFit="1" customWidth="1"/>
    <col min="67" max="67" width="10.140625" style="3" bestFit="1" customWidth="1"/>
    <col min="68" max="68" width="11.7109375" style="3" bestFit="1" customWidth="1"/>
    <col min="69" max="69" width="10.28515625" style="3" bestFit="1" customWidth="1"/>
    <col min="70" max="70" width="13.140625" style="3" bestFit="1" customWidth="1"/>
    <col min="71" max="71" width="9.140625" style="3"/>
    <col min="72" max="72" width="14.7109375" style="3" bestFit="1" customWidth="1"/>
    <col min="73" max="73" width="14.28515625" style="3" bestFit="1" customWidth="1"/>
    <col min="74" max="74" width="10.140625" style="3" bestFit="1" customWidth="1"/>
    <col min="75" max="75" width="11.7109375" style="3" bestFit="1" customWidth="1"/>
    <col min="76" max="76" width="10.28515625" style="3" bestFit="1" customWidth="1"/>
    <col min="77" max="77" width="13.140625" style="3" bestFit="1" customWidth="1"/>
    <col min="78" max="78" width="9.140625" style="3"/>
    <col min="79" max="79" width="14.7109375" style="3" bestFit="1" customWidth="1"/>
    <col min="80" max="80" width="12.7109375" style="3" bestFit="1" customWidth="1"/>
    <col min="81" max="81" width="9.140625" style="3" bestFit="1" customWidth="1"/>
    <col min="82" max="82" width="11.7109375" style="3" bestFit="1" customWidth="1"/>
    <col min="83" max="83" width="10.28515625" style="3" bestFit="1" customWidth="1"/>
    <col min="84" max="84" width="13.140625" style="3" bestFit="1" customWidth="1"/>
    <col min="85" max="85" width="9.140625" style="3"/>
    <col min="86" max="86" width="14.7109375" style="3" bestFit="1" customWidth="1"/>
    <col min="87" max="87" width="12.7109375" style="3" bestFit="1" customWidth="1"/>
    <col min="88" max="88" width="10.140625" style="3" bestFit="1" customWidth="1"/>
    <col min="89" max="89" width="20.140625" style="3" bestFit="1" customWidth="1"/>
    <col min="90" max="90" width="11.7109375" style="3" bestFit="1" customWidth="1"/>
    <col min="91" max="91" width="10.140625" style="3" bestFit="1" customWidth="1"/>
    <col min="92" max="93" width="9.140625" style="3"/>
    <col min="94" max="95" width="11.7109375" style="3" bestFit="1" customWidth="1"/>
    <col min="96" max="96" width="10.140625" style="3" bestFit="1" customWidth="1"/>
    <col min="97" max="97" width="11.7109375" style="40" bestFit="1" customWidth="1"/>
    <col min="98" max="98" width="10.140625" style="3" bestFit="1" customWidth="1"/>
    <col min="99" max="99" width="9.140625" style="3"/>
    <col min="100" max="100" width="10.140625" style="3" bestFit="1" customWidth="1"/>
    <col min="101" max="101" width="11.7109375" style="3" bestFit="1" customWidth="1"/>
    <col min="102" max="102" width="10.140625" style="3" bestFit="1" customWidth="1"/>
    <col min="103" max="16384" width="9.140625" style="3"/>
  </cols>
  <sheetData>
    <row r="1" spans="1:102">
      <c r="D1" s="4">
        <v>42826</v>
      </c>
      <c r="L1" s="4">
        <v>42856</v>
      </c>
      <c r="S1" s="4">
        <v>43252</v>
      </c>
      <c r="Z1" s="4">
        <v>43282</v>
      </c>
      <c r="AF1" s="4">
        <v>43313</v>
      </c>
      <c r="AM1" s="3" t="s">
        <v>0</v>
      </c>
      <c r="AX1" s="3" t="s">
        <v>1</v>
      </c>
      <c r="BE1" s="3" t="s">
        <v>2</v>
      </c>
      <c r="BK1" s="3" t="s">
        <v>3</v>
      </c>
      <c r="BS1" s="3" t="s">
        <v>4</v>
      </c>
      <c r="BX1" s="3" t="s">
        <v>5</v>
      </c>
      <c r="CE1" s="3" t="s">
        <v>69</v>
      </c>
    </row>
    <row r="2" spans="1:102" ht="15.75">
      <c r="B2" s="10" t="s">
        <v>6</v>
      </c>
      <c r="C2" s="23" t="s">
        <v>7</v>
      </c>
      <c r="D2" s="11" t="s">
        <v>8</v>
      </c>
      <c r="E2" s="11" t="s">
        <v>9</v>
      </c>
      <c r="F2" s="11" t="s">
        <v>10</v>
      </c>
      <c r="G2" s="22" t="s">
        <v>11</v>
      </c>
      <c r="H2" s="12" t="s">
        <v>12</v>
      </c>
      <c r="I2" s="13" t="s">
        <v>13</v>
      </c>
      <c r="J2" s="23" t="s">
        <v>7</v>
      </c>
      <c r="K2" s="11" t="s">
        <v>8</v>
      </c>
      <c r="L2" s="11" t="s">
        <v>9</v>
      </c>
      <c r="M2" s="11" t="s">
        <v>10</v>
      </c>
      <c r="N2" s="11" t="s">
        <v>14</v>
      </c>
      <c r="O2" s="12" t="s">
        <v>12</v>
      </c>
      <c r="P2" s="16" t="s">
        <v>7</v>
      </c>
      <c r="Q2" s="23" t="s">
        <v>7</v>
      </c>
      <c r="R2" s="11" t="s">
        <v>8</v>
      </c>
      <c r="S2" s="11" t="s">
        <v>9</v>
      </c>
      <c r="T2" s="11" t="s">
        <v>10</v>
      </c>
      <c r="U2" s="11" t="s">
        <v>14</v>
      </c>
      <c r="V2" s="12" t="s">
        <v>12</v>
      </c>
      <c r="W2" s="16" t="s">
        <v>7</v>
      </c>
      <c r="X2" s="23" t="s">
        <v>7</v>
      </c>
      <c r="Y2" s="11" t="s">
        <v>8</v>
      </c>
      <c r="Z2" s="11" t="s">
        <v>9</v>
      </c>
      <c r="AA2" s="11" t="s">
        <v>10</v>
      </c>
      <c r="AB2" s="11" t="s">
        <v>14</v>
      </c>
      <c r="AC2" s="12" t="s">
        <v>12</v>
      </c>
      <c r="AD2" s="16" t="s">
        <v>7</v>
      </c>
      <c r="AE2" s="23" t="s">
        <v>7</v>
      </c>
      <c r="AF2" s="11" t="s">
        <v>8</v>
      </c>
      <c r="AG2" s="11" t="s">
        <v>9</v>
      </c>
      <c r="AH2" s="11" t="s">
        <v>10</v>
      </c>
      <c r="AI2" s="11" t="s">
        <v>14</v>
      </c>
      <c r="AJ2" s="12" t="s">
        <v>12</v>
      </c>
      <c r="AK2" s="16" t="s">
        <v>7</v>
      </c>
      <c r="AL2" s="23" t="s">
        <v>7</v>
      </c>
      <c r="AM2" s="11" t="s">
        <v>8</v>
      </c>
      <c r="AN2" s="11" t="s">
        <v>9</v>
      </c>
      <c r="AO2" s="11" t="s">
        <v>10</v>
      </c>
      <c r="AP2" s="11" t="s">
        <v>14</v>
      </c>
      <c r="AQ2" s="12" t="s">
        <v>12</v>
      </c>
      <c r="AR2" s="26" t="s">
        <v>15</v>
      </c>
      <c r="AS2" s="16" t="s">
        <v>7</v>
      </c>
      <c r="AU2" s="23" t="s">
        <v>7</v>
      </c>
      <c r="AV2" s="11" t="s">
        <v>8</v>
      </c>
      <c r="AW2" s="11" t="s">
        <v>9</v>
      </c>
      <c r="AX2" s="11" t="s">
        <v>10</v>
      </c>
      <c r="AY2" s="11" t="s">
        <v>14</v>
      </c>
      <c r="AZ2" s="12" t="s">
        <v>12</v>
      </c>
      <c r="BA2" s="16" t="s">
        <v>7</v>
      </c>
      <c r="BB2" s="23" t="s">
        <v>7</v>
      </c>
      <c r="BC2" s="11" t="s">
        <v>8</v>
      </c>
      <c r="BD2" s="11" t="s">
        <v>9</v>
      </c>
      <c r="BE2" s="11" t="s">
        <v>10</v>
      </c>
      <c r="BF2" s="11" t="s">
        <v>14</v>
      </c>
      <c r="BG2" s="12" t="s">
        <v>12</v>
      </c>
      <c r="BH2" s="16" t="s">
        <v>7</v>
      </c>
      <c r="BI2" s="23" t="s">
        <v>7</v>
      </c>
      <c r="BJ2" s="11" t="s">
        <v>8</v>
      </c>
      <c r="BK2" s="11" t="s">
        <v>9</v>
      </c>
      <c r="BL2" s="11" t="s">
        <v>10</v>
      </c>
      <c r="BM2" s="11" t="s">
        <v>14</v>
      </c>
      <c r="BN2" s="12" t="s">
        <v>12</v>
      </c>
      <c r="BO2" s="16" t="s">
        <v>7</v>
      </c>
      <c r="BP2" s="23" t="s">
        <v>7</v>
      </c>
      <c r="BQ2" s="11" t="s">
        <v>8</v>
      </c>
      <c r="BR2" s="11" t="s">
        <v>9</v>
      </c>
      <c r="BS2" s="11" t="s">
        <v>10</v>
      </c>
      <c r="BT2" s="11" t="s">
        <v>14</v>
      </c>
      <c r="BU2" s="12" t="s">
        <v>12</v>
      </c>
      <c r="BV2" s="16" t="s">
        <v>7</v>
      </c>
      <c r="BW2" s="23" t="s">
        <v>7</v>
      </c>
      <c r="BX2" s="11" t="s">
        <v>8</v>
      </c>
      <c r="BY2" s="11" t="s">
        <v>9</v>
      </c>
      <c r="BZ2" s="11" t="s">
        <v>10</v>
      </c>
      <c r="CA2" s="11" t="s">
        <v>14</v>
      </c>
      <c r="CB2" s="12" t="s">
        <v>12</v>
      </c>
      <c r="CC2" s="16" t="s">
        <v>7</v>
      </c>
      <c r="CD2" s="23" t="s">
        <v>7</v>
      </c>
      <c r="CE2" s="11" t="s">
        <v>8</v>
      </c>
      <c r="CF2" s="11" t="s">
        <v>9</v>
      </c>
      <c r="CG2" s="11" t="s">
        <v>10</v>
      </c>
      <c r="CH2" s="11" t="s">
        <v>14</v>
      </c>
      <c r="CI2" s="12" t="s">
        <v>12</v>
      </c>
      <c r="CJ2" s="16" t="s">
        <v>7</v>
      </c>
      <c r="CL2" s="3" t="s">
        <v>16</v>
      </c>
      <c r="CN2" s="3" t="s">
        <v>17</v>
      </c>
      <c r="CP2" s="3" t="s">
        <v>88</v>
      </c>
      <c r="CQ2" s="3" t="s">
        <v>43</v>
      </c>
      <c r="CR2" s="3" t="s">
        <v>89</v>
      </c>
      <c r="CS2" s="40" t="s">
        <v>90</v>
      </c>
      <c r="CT2" s="3" t="s">
        <v>18</v>
      </c>
      <c r="CU2" s="3" t="s">
        <v>77</v>
      </c>
      <c r="CV2" s="3" t="s">
        <v>13</v>
      </c>
      <c r="CW2" s="3" t="s">
        <v>70</v>
      </c>
    </row>
    <row r="3" spans="1:102">
      <c r="A3" s="3">
        <v>1</v>
      </c>
      <c r="B3" s="5" t="s">
        <v>19</v>
      </c>
      <c r="C3" s="7">
        <f>'2016 '!CL3</f>
        <v>282593</v>
      </c>
      <c r="D3" s="6">
        <f>H3-(E3+F3+G3)</f>
        <v>66087</v>
      </c>
      <c r="E3" s="6">
        <f>MROUND(((C3*0.5)/100),1)</f>
        <v>1413</v>
      </c>
      <c r="F3" s="6">
        <v>500</v>
      </c>
      <c r="G3" s="6">
        <v>2000</v>
      </c>
      <c r="H3" s="6">
        <v>70000</v>
      </c>
      <c r="I3" s="21"/>
      <c r="J3" s="21">
        <f>C3-D3+I3</f>
        <v>216506</v>
      </c>
      <c r="K3" s="6">
        <f>O3-(L3+M3+N3)</f>
        <v>12417</v>
      </c>
      <c r="L3" s="6">
        <f>MROUND(((J3*0.5)/100),1)</f>
        <v>1083</v>
      </c>
      <c r="M3" s="6">
        <v>500</v>
      </c>
      <c r="N3" s="6">
        <v>2000</v>
      </c>
      <c r="O3" s="6">
        <v>16000</v>
      </c>
      <c r="P3" s="6"/>
      <c r="Q3" s="21">
        <f>J3-K3+P3</f>
        <v>204089</v>
      </c>
      <c r="R3" s="6">
        <f>V3-(S3+T3+U3)</f>
        <v>6480</v>
      </c>
      <c r="S3" s="6">
        <f>MROUND(((Q3*0.5)/100),1)</f>
        <v>1020</v>
      </c>
      <c r="T3" s="6">
        <v>500</v>
      </c>
      <c r="U3" s="6">
        <v>2000</v>
      </c>
      <c r="V3" s="6">
        <v>10000</v>
      </c>
      <c r="W3" s="6"/>
      <c r="X3" s="21">
        <f>Q3-R3+W3</f>
        <v>197609</v>
      </c>
      <c r="Y3" s="6">
        <f>AC3-(Z3+AA3+AB3)</f>
        <v>6512</v>
      </c>
      <c r="Z3" s="6">
        <f>MROUND(((X3*0.5)/100),1)</f>
        <v>988</v>
      </c>
      <c r="AA3" s="6">
        <v>500</v>
      </c>
      <c r="AB3" s="6">
        <v>2000</v>
      </c>
      <c r="AC3" s="6">
        <v>10000</v>
      </c>
      <c r="AD3" s="6"/>
      <c r="AE3" s="21">
        <f>X3-Y3+AD3</f>
        <v>191097</v>
      </c>
      <c r="AF3" s="6">
        <f>AJ3-(AG3+AH3+AI3)</f>
        <v>6545</v>
      </c>
      <c r="AG3" s="6">
        <f>MROUND(((AE3*0.5)/100),1)</f>
        <v>955</v>
      </c>
      <c r="AH3" s="6">
        <v>500</v>
      </c>
      <c r="AI3" s="6">
        <v>2000</v>
      </c>
      <c r="AJ3" s="6">
        <v>10000</v>
      </c>
      <c r="AK3" s="6"/>
      <c r="AL3" s="21">
        <f>AE3-AF3+AK3</f>
        <v>184552</v>
      </c>
      <c r="AM3" s="6">
        <f>AQ3-(AN3+AO3+AP3)</f>
        <v>11</v>
      </c>
      <c r="AN3" s="6">
        <f>MROUND(((AL3*0.5)/100),1)</f>
        <v>923</v>
      </c>
      <c r="AO3" s="6">
        <v>500</v>
      </c>
      <c r="AP3" s="6">
        <v>0</v>
      </c>
      <c r="AQ3" s="6">
        <v>1434</v>
      </c>
      <c r="AR3" s="6">
        <v>0</v>
      </c>
      <c r="AS3" s="6">
        <v>1434</v>
      </c>
      <c r="AU3" s="21">
        <f>AL3-AM3+AS3</f>
        <v>185975</v>
      </c>
      <c r="AV3" s="6">
        <f>AZ3-(AW3+AX3+AY3)</f>
        <v>8570</v>
      </c>
      <c r="AW3" s="6">
        <f>MROUND(((AU3*0.5)/100),1)</f>
        <v>930</v>
      </c>
      <c r="AX3" s="6">
        <v>500</v>
      </c>
      <c r="AY3" s="6">
        <v>0</v>
      </c>
      <c r="AZ3" s="6">
        <v>10000</v>
      </c>
      <c r="BA3" s="6">
        <v>0</v>
      </c>
      <c r="BB3" s="21">
        <f>AU3-AV3+BA3</f>
        <v>177405</v>
      </c>
      <c r="BC3" s="6">
        <f>BG3-(BD3+BE3+BF3)</f>
        <v>10613</v>
      </c>
      <c r="BD3" s="6">
        <f>MROUND(((BB3*0.5)/100),1)</f>
        <v>887</v>
      </c>
      <c r="BE3" s="6">
        <v>500</v>
      </c>
      <c r="BF3" s="6">
        <v>0</v>
      </c>
      <c r="BG3" s="6">
        <v>12000</v>
      </c>
      <c r="BH3" s="6"/>
      <c r="BI3" s="21">
        <f>BB3-BC3+BH3</f>
        <v>166792</v>
      </c>
      <c r="BJ3" s="6">
        <f>BN3-(BK3+BL3+BM3)</f>
        <v>9666</v>
      </c>
      <c r="BK3" s="6">
        <f>MROUND(((BI3*0.5)/100),1)</f>
        <v>834</v>
      </c>
      <c r="BL3" s="6">
        <v>500</v>
      </c>
      <c r="BM3" s="6">
        <v>0</v>
      </c>
      <c r="BN3" s="6">
        <v>11000</v>
      </c>
      <c r="BO3" s="6"/>
      <c r="BP3" s="21">
        <f>BI3-BJ3+BO3</f>
        <v>157126</v>
      </c>
      <c r="BQ3" s="6">
        <f>BU3-(BR3+BS3+BT3)</f>
        <v>11</v>
      </c>
      <c r="BR3" s="6">
        <f>MROUND(((BP3*0.5)/100),1)</f>
        <v>786</v>
      </c>
      <c r="BS3" s="6">
        <v>500</v>
      </c>
      <c r="BT3" s="6">
        <v>0</v>
      </c>
      <c r="BU3" s="21">
        <v>1297</v>
      </c>
      <c r="BV3" s="6">
        <v>1297</v>
      </c>
      <c r="BW3" s="21">
        <f>BP3-BQ3+BV3</f>
        <v>158412</v>
      </c>
      <c r="BX3" s="6">
        <f>CB3-(BY3+BZ3+CA3)</f>
        <v>13708</v>
      </c>
      <c r="BY3" s="6">
        <f>MROUND(((BW3*0.5)/100),1)</f>
        <v>792</v>
      </c>
      <c r="BZ3" s="6">
        <v>500</v>
      </c>
      <c r="CA3" s="6">
        <v>0</v>
      </c>
      <c r="CB3" s="6">
        <v>15000</v>
      </c>
      <c r="CC3" s="6"/>
      <c r="CD3" s="21">
        <f>BW3-BX3+CC3</f>
        <v>144704</v>
      </c>
      <c r="CE3" s="6">
        <f>CI3-(CF3+CG3+CH3)</f>
        <v>8776</v>
      </c>
      <c r="CF3" s="6">
        <f>MROUND(((CD3*0.5)/100),1)</f>
        <v>724</v>
      </c>
      <c r="CG3" s="6">
        <v>500</v>
      </c>
      <c r="CH3" s="6">
        <v>0</v>
      </c>
      <c r="CI3" s="6">
        <v>10000</v>
      </c>
      <c r="CJ3" s="6"/>
      <c r="CK3" s="5" t="s">
        <v>19</v>
      </c>
      <c r="CL3" s="14">
        <f>CD3-CE3+CJ3</f>
        <v>135928</v>
      </c>
      <c r="CM3" s="14">
        <v>75475</v>
      </c>
      <c r="CN3" s="14">
        <v>0</v>
      </c>
      <c r="CO3" s="14">
        <v>10000</v>
      </c>
      <c r="CP3" s="14">
        <f>'2016 '!CS3</f>
        <v>94693</v>
      </c>
      <c r="CQ3" s="14">
        <f>CP3+F3+M3+T3+AA3+AH3+AO3+AX3+BE3+BL3+BS3+BZ3+CG3</f>
        <v>100693</v>
      </c>
      <c r="CR3" s="3">
        <f>MROUND((CQ3*$M$41)/$M$34,1)</f>
        <v>3029</v>
      </c>
      <c r="CS3" s="41">
        <f>CQ3+CR3</f>
        <v>103722</v>
      </c>
      <c r="CT3" s="14">
        <v>78017</v>
      </c>
      <c r="CU3" s="14">
        <v>2327</v>
      </c>
      <c r="CV3" s="14">
        <v>0</v>
      </c>
      <c r="CW3" s="14">
        <v>0</v>
      </c>
      <c r="CX3" s="14">
        <v>45000</v>
      </c>
    </row>
    <row r="4" spans="1:102">
      <c r="A4" s="3">
        <v>2</v>
      </c>
      <c r="B4" s="5" t="s">
        <v>21</v>
      </c>
      <c r="C4" s="7">
        <f>'2016 '!CL4</f>
        <v>36409</v>
      </c>
      <c r="D4" s="6">
        <f t="shared" ref="D4:D25" si="0">H4-(E4+F4+G4)</f>
        <v>318</v>
      </c>
      <c r="E4" s="6">
        <f t="shared" ref="E4:E22" si="1">MROUND(((C4*0.5)/100),1)</f>
        <v>182</v>
      </c>
      <c r="F4" s="6">
        <v>500</v>
      </c>
      <c r="G4" s="6">
        <v>2000</v>
      </c>
      <c r="H4" s="6">
        <v>3000</v>
      </c>
      <c r="I4" s="21">
        <v>15000</v>
      </c>
      <c r="J4" s="21">
        <f t="shared" ref="J4:J23" si="2">C4-D4+I4</f>
        <v>51091</v>
      </c>
      <c r="K4" s="6">
        <f t="shared" ref="K4:K25" si="3">O4-(L4+M4+N4)</f>
        <v>1245</v>
      </c>
      <c r="L4" s="6">
        <f>MROUND(((J4*0.5)/100),1)</f>
        <v>255</v>
      </c>
      <c r="M4" s="6">
        <v>500</v>
      </c>
      <c r="N4" s="6">
        <v>2000</v>
      </c>
      <c r="O4" s="6">
        <v>4000</v>
      </c>
      <c r="P4" s="6"/>
      <c r="Q4" s="21">
        <f t="shared" ref="Q4:Q25" si="4">J4-K4+P4</f>
        <v>49846</v>
      </c>
      <c r="R4" s="6">
        <f t="shared" ref="R4:R25" si="5">V4-(S4+T4+U4)</f>
        <v>1251</v>
      </c>
      <c r="S4" s="6">
        <f t="shared" ref="S4:S24" si="6">MROUND(((Q4*0.5)/100),1)</f>
        <v>249</v>
      </c>
      <c r="T4" s="6">
        <v>500</v>
      </c>
      <c r="U4" s="6">
        <v>2000</v>
      </c>
      <c r="V4" s="6">
        <v>4000</v>
      </c>
      <c r="W4" s="6"/>
      <c r="X4" s="21">
        <f t="shared" ref="X4:X25" si="7">Q4-R4+W4</f>
        <v>48595</v>
      </c>
      <c r="Y4" s="6">
        <f t="shared" ref="Y4:Y25" si="8">AC4-(Z4+AA4+AB4)</f>
        <v>1257</v>
      </c>
      <c r="Z4" s="6">
        <f t="shared" ref="Z4:Z24" si="9">MROUND(((X4*0.5)/100),1)</f>
        <v>243</v>
      </c>
      <c r="AA4" s="6">
        <v>500</v>
      </c>
      <c r="AB4" s="6">
        <v>2000</v>
      </c>
      <c r="AC4" s="6">
        <v>4000</v>
      </c>
      <c r="AD4" s="6"/>
      <c r="AE4" s="21">
        <f t="shared" ref="AE4:AE25" si="10">X4-Y4+AD4</f>
        <v>47338</v>
      </c>
      <c r="AF4" s="6">
        <f t="shared" ref="AF4:AF25" si="11">AJ4-(AG4+AH4+AI4)</f>
        <v>1263</v>
      </c>
      <c r="AG4" s="6">
        <f t="shared" ref="AG4:AG24" si="12">MROUND(((AE4*0.5)/100),1)</f>
        <v>237</v>
      </c>
      <c r="AH4" s="6">
        <v>500</v>
      </c>
      <c r="AI4" s="6">
        <v>2000</v>
      </c>
      <c r="AJ4" s="6">
        <v>4000</v>
      </c>
      <c r="AK4" s="6"/>
      <c r="AL4" s="21">
        <f t="shared" ref="AL4:AL25" si="13">AE4-AF4+AK4</f>
        <v>46075</v>
      </c>
      <c r="AM4" s="6">
        <f t="shared" ref="AM4:AM25" si="14">AQ4-(AN4+AO4+AP4)</f>
        <v>4270</v>
      </c>
      <c r="AN4" s="6">
        <f t="shared" ref="AN4:AN24" si="15">MROUND(((AL4*0.5)/100),1)</f>
        <v>230</v>
      </c>
      <c r="AO4" s="6">
        <v>500</v>
      </c>
      <c r="AP4" s="6">
        <v>0</v>
      </c>
      <c r="AQ4" s="6">
        <v>5000</v>
      </c>
      <c r="AR4" s="6">
        <v>0</v>
      </c>
      <c r="AS4" s="6">
        <v>5000</v>
      </c>
      <c r="AU4" s="21">
        <f t="shared" ref="AU4:AU25" si="16">AL4-AM4+AS4</f>
        <v>46805</v>
      </c>
      <c r="AV4" s="6">
        <f t="shared" ref="AV4:AV25" si="17">AZ4-(AW4+AX4+AY4)</f>
        <v>16</v>
      </c>
      <c r="AW4" s="6">
        <f t="shared" ref="AW4:AW23" si="18">MROUND(((AU4*0.5)/100),1)</f>
        <v>234</v>
      </c>
      <c r="AX4" s="6">
        <v>500</v>
      </c>
      <c r="AY4" s="6">
        <v>0</v>
      </c>
      <c r="AZ4" s="6">
        <v>750</v>
      </c>
      <c r="BA4" s="6"/>
      <c r="BB4" s="21">
        <f t="shared" ref="BB4:BB25" si="19">AU4-AV4+BA4</f>
        <v>46789</v>
      </c>
      <c r="BC4" s="6">
        <f t="shared" ref="BC4:BC25" si="20">BG4-(BD4+BE4+BF4)</f>
        <v>1766</v>
      </c>
      <c r="BD4" s="6">
        <f t="shared" ref="BD4:BD23" si="21">MROUND(((BB4*0.5)/100),1)</f>
        <v>234</v>
      </c>
      <c r="BE4" s="6">
        <v>500</v>
      </c>
      <c r="BF4" s="6">
        <v>1500</v>
      </c>
      <c r="BG4" s="6">
        <v>4000</v>
      </c>
      <c r="BH4" s="6"/>
      <c r="BI4" s="21">
        <f t="shared" ref="BI4:BI24" si="22">BB4-BC4+BH4</f>
        <v>45023</v>
      </c>
      <c r="BJ4" s="6">
        <f t="shared" ref="BJ4:BJ25" si="23">BN4-(BK4+BL4+BM4)</f>
        <v>1775</v>
      </c>
      <c r="BK4" s="6">
        <f t="shared" ref="BK4:BK23" si="24">MROUND(((BI4*0.5)/100),1)</f>
        <v>225</v>
      </c>
      <c r="BL4" s="6">
        <v>500</v>
      </c>
      <c r="BM4" s="6">
        <v>1500</v>
      </c>
      <c r="BN4" s="6">
        <v>4000</v>
      </c>
      <c r="BO4" s="6">
        <v>6200</v>
      </c>
      <c r="BP4" s="21">
        <f t="shared" ref="BP4:BP25" si="25">BI4-BJ4+BO4</f>
        <v>49448</v>
      </c>
      <c r="BQ4" s="6">
        <f t="shared" ref="BQ4:BQ25" si="26">BU4-(BR4+BS4+BT4)</f>
        <v>2753</v>
      </c>
      <c r="BR4" s="6">
        <f t="shared" ref="BR4:BR23" si="27">MROUND(((BP4*0.5)/100),1)</f>
        <v>247</v>
      </c>
      <c r="BS4" s="6">
        <v>500</v>
      </c>
      <c r="BT4" s="6">
        <v>1500</v>
      </c>
      <c r="BU4" s="6">
        <v>5000</v>
      </c>
      <c r="BV4" s="6"/>
      <c r="BW4" s="21">
        <f t="shared" ref="BW4:BW25" si="28">BP4-BQ4+BV4</f>
        <v>46695</v>
      </c>
      <c r="BX4" s="6">
        <f t="shared" ref="BX4:BX25" si="29">CB4-(BY4+BZ4+CA4)</f>
        <v>1767</v>
      </c>
      <c r="BY4" s="6">
        <f t="shared" ref="BY4:BY23" si="30">MROUND(((BW4*0.5)/100),1)</f>
        <v>233</v>
      </c>
      <c r="BZ4" s="6">
        <v>500</v>
      </c>
      <c r="CA4" s="6">
        <v>1500</v>
      </c>
      <c r="CB4" s="6">
        <v>4000</v>
      </c>
      <c r="CC4" s="6"/>
      <c r="CD4" s="21">
        <f t="shared" ref="CD4:CD25" si="31">BW4-BX4+CC4</f>
        <v>44928</v>
      </c>
      <c r="CE4" s="6">
        <f t="shared" ref="CE4:CE25" si="32">CI4-(CF4+CG4+CH4)</f>
        <v>1775</v>
      </c>
      <c r="CF4" s="6">
        <f t="shared" ref="CF4:CF24" si="33">MROUND(((CD4*0.5)/100),1)</f>
        <v>225</v>
      </c>
      <c r="CG4" s="6">
        <v>500</v>
      </c>
      <c r="CH4" s="6">
        <v>1500</v>
      </c>
      <c r="CI4" s="6">
        <v>4000</v>
      </c>
      <c r="CJ4" s="6"/>
      <c r="CK4" s="5" t="s">
        <v>21</v>
      </c>
      <c r="CL4" s="14">
        <f t="shared" ref="CL4:CL25" si="34">CD4-CE4+CJ4</f>
        <v>43153</v>
      </c>
      <c r="CM4" s="14">
        <v>0</v>
      </c>
      <c r="CN4" s="14">
        <v>0</v>
      </c>
      <c r="CO4" s="14">
        <v>15000</v>
      </c>
      <c r="CP4" s="14">
        <f>'2016 '!CS4</f>
        <v>93224</v>
      </c>
      <c r="CQ4" s="14">
        <f>CP4+F4+M4+T4+AA4+AH4+AO4+AX4+BE4+BL4+BS4+BZ4+CG4</f>
        <v>99224</v>
      </c>
      <c r="CR4" s="3">
        <f t="shared" ref="CR4:CR25" si="35">MROUND((CQ4*$M$41)/$M$34,1)</f>
        <v>2985</v>
      </c>
      <c r="CS4" s="41">
        <f t="shared" ref="CS4:CS25" si="36">CQ4+CR4</f>
        <v>102209</v>
      </c>
      <c r="CT4" s="14">
        <v>0</v>
      </c>
      <c r="CU4" s="14">
        <v>0</v>
      </c>
      <c r="CV4" s="14">
        <v>0</v>
      </c>
      <c r="CW4" s="14">
        <v>0</v>
      </c>
      <c r="CX4" s="14">
        <v>2000</v>
      </c>
    </row>
    <row r="5" spans="1:102">
      <c r="A5" s="3">
        <v>3</v>
      </c>
      <c r="B5" s="5" t="s">
        <v>22</v>
      </c>
      <c r="C5" s="7">
        <f>'2016 '!CL5</f>
        <v>32699</v>
      </c>
      <c r="D5" s="6">
        <f t="shared" si="0"/>
        <v>3837</v>
      </c>
      <c r="E5" s="6">
        <f t="shared" si="1"/>
        <v>163</v>
      </c>
      <c r="F5" s="6">
        <v>1000</v>
      </c>
      <c r="G5" s="6">
        <v>2000</v>
      </c>
      <c r="H5" s="6">
        <v>7000</v>
      </c>
      <c r="I5" s="21"/>
      <c r="J5" s="21">
        <f t="shared" si="2"/>
        <v>28862</v>
      </c>
      <c r="K5" s="6">
        <f t="shared" si="3"/>
        <v>3856</v>
      </c>
      <c r="L5" s="6">
        <f t="shared" ref="L5:L23" si="37">MROUND(((J5*0.5)/100),1)</f>
        <v>144</v>
      </c>
      <c r="M5" s="6">
        <v>1000</v>
      </c>
      <c r="N5" s="6">
        <v>2000</v>
      </c>
      <c r="O5" s="6">
        <v>7000</v>
      </c>
      <c r="P5" s="6"/>
      <c r="Q5" s="21">
        <f t="shared" si="4"/>
        <v>25006</v>
      </c>
      <c r="R5" s="6">
        <f t="shared" si="5"/>
        <v>1875</v>
      </c>
      <c r="S5" s="6">
        <f t="shared" si="6"/>
        <v>125</v>
      </c>
      <c r="T5" s="6">
        <v>1000</v>
      </c>
      <c r="U5" s="6">
        <v>2000</v>
      </c>
      <c r="V5" s="6">
        <v>5000</v>
      </c>
      <c r="W5" s="6"/>
      <c r="X5" s="21">
        <f t="shared" si="7"/>
        <v>23131</v>
      </c>
      <c r="Y5" s="6">
        <f t="shared" si="8"/>
        <v>1884</v>
      </c>
      <c r="Z5" s="6">
        <f t="shared" si="9"/>
        <v>116</v>
      </c>
      <c r="AA5" s="6">
        <v>1000</v>
      </c>
      <c r="AB5" s="6">
        <v>2000</v>
      </c>
      <c r="AC5" s="6">
        <v>5000</v>
      </c>
      <c r="AD5" s="6"/>
      <c r="AE5" s="21">
        <f t="shared" si="10"/>
        <v>21247</v>
      </c>
      <c r="AF5" s="6">
        <f t="shared" si="11"/>
        <v>1894</v>
      </c>
      <c r="AG5" s="6">
        <f t="shared" si="12"/>
        <v>106</v>
      </c>
      <c r="AH5" s="6">
        <v>1000</v>
      </c>
      <c r="AI5" s="6">
        <v>2000</v>
      </c>
      <c r="AJ5" s="6">
        <v>5000</v>
      </c>
      <c r="AK5" s="6"/>
      <c r="AL5" s="21">
        <f t="shared" si="13"/>
        <v>19353</v>
      </c>
      <c r="AM5" s="6">
        <f t="shared" si="14"/>
        <v>1903</v>
      </c>
      <c r="AN5" s="6">
        <f t="shared" si="15"/>
        <v>97</v>
      </c>
      <c r="AO5" s="6">
        <v>1000</v>
      </c>
      <c r="AP5" s="6">
        <v>0</v>
      </c>
      <c r="AQ5" s="6">
        <v>3000</v>
      </c>
      <c r="AR5" s="6">
        <v>0</v>
      </c>
      <c r="AS5" s="6"/>
      <c r="AU5" s="21">
        <f t="shared" si="16"/>
        <v>17450</v>
      </c>
      <c r="AV5" s="6">
        <f t="shared" si="17"/>
        <v>2913</v>
      </c>
      <c r="AW5" s="6">
        <f t="shared" si="18"/>
        <v>87</v>
      </c>
      <c r="AX5" s="6">
        <v>1000</v>
      </c>
      <c r="AY5" s="6">
        <v>0</v>
      </c>
      <c r="AZ5" s="6">
        <v>4000</v>
      </c>
      <c r="BA5" s="6"/>
      <c r="BB5" s="21">
        <f t="shared" si="19"/>
        <v>14537</v>
      </c>
      <c r="BC5" s="6">
        <f t="shared" si="20"/>
        <v>1927</v>
      </c>
      <c r="BD5" s="6">
        <f t="shared" si="21"/>
        <v>73</v>
      </c>
      <c r="BE5" s="6">
        <v>1000</v>
      </c>
      <c r="BF5" s="6">
        <v>1000</v>
      </c>
      <c r="BG5" s="6">
        <v>4000</v>
      </c>
      <c r="BH5" s="6"/>
      <c r="BI5" s="21">
        <f t="shared" si="22"/>
        <v>12610</v>
      </c>
      <c r="BJ5" s="6">
        <f t="shared" si="23"/>
        <v>1937</v>
      </c>
      <c r="BK5" s="6">
        <f t="shared" si="24"/>
        <v>63</v>
      </c>
      <c r="BL5" s="6">
        <v>1000</v>
      </c>
      <c r="BM5" s="6">
        <v>1000</v>
      </c>
      <c r="BN5" s="6">
        <v>4000</v>
      </c>
      <c r="BO5" s="6"/>
      <c r="BP5" s="21">
        <f t="shared" si="25"/>
        <v>10673</v>
      </c>
      <c r="BQ5" s="6">
        <f t="shared" si="26"/>
        <v>1947</v>
      </c>
      <c r="BR5" s="6">
        <f t="shared" si="27"/>
        <v>53</v>
      </c>
      <c r="BS5" s="6">
        <v>1000</v>
      </c>
      <c r="BT5" s="6">
        <v>1000</v>
      </c>
      <c r="BU5" s="6">
        <v>4000</v>
      </c>
      <c r="BV5" s="6">
        <v>25000</v>
      </c>
      <c r="BW5" s="21">
        <f t="shared" si="28"/>
        <v>33726</v>
      </c>
      <c r="BX5" s="6">
        <f t="shared" si="29"/>
        <v>3831</v>
      </c>
      <c r="BY5" s="6">
        <f t="shared" si="30"/>
        <v>169</v>
      </c>
      <c r="BZ5" s="6">
        <v>1000</v>
      </c>
      <c r="CA5" s="6">
        <v>1000</v>
      </c>
      <c r="CB5" s="6">
        <v>6000</v>
      </c>
      <c r="CC5" s="6"/>
      <c r="CD5" s="21">
        <f t="shared" si="31"/>
        <v>29895</v>
      </c>
      <c r="CE5" s="6">
        <f t="shared" si="32"/>
        <v>29895</v>
      </c>
      <c r="CF5" s="6">
        <f t="shared" si="33"/>
        <v>149</v>
      </c>
      <c r="CG5" s="6">
        <v>1000</v>
      </c>
      <c r="CH5" s="6">
        <v>1000</v>
      </c>
      <c r="CI5" s="6">
        <v>32044</v>
      </c>
      <c r="CJ5" s="6"/>
      <c r="CK5" s="5" t="s">
        <v>22</v>
      </c>
      <c r="CL5" s="14">
        <f t="shared" si="34"/>
        <v>0</v>
      </c>
      <c r="CM5" s="14">
        <v>0</v>
      </c>
      <c r="CN5" s="14">
        <v>5000</v>
      </c>
      <c r="CO5" s="14">
        <v>5000</v>
      </c>
      <c r="CP5" s="14">
        <f>'2016 '!CS5</f>
        <v>102727</v>
      </c>
      <c r="CQ5" s="14">
        <f>CP5+F5+M5+T5+AA5+AH5+AO5+AX5+BE5+BL5+BS5+BZ5+CG5-50000</f>
        <v>64727</v>
      </c>
      <c r="CR5" s="3">
        <f t="shared" si="35"/>
        <v>1947</v>
      </c>
      <c r="CS5" s="41">
        <f t="shared" si="36"/>
        <v>66674</v>
      </c>
      <c r="CT5" s="14">
        <v>0</v>
      </c>
      <c r="CU5" s="14">
        <v>0</v>
      </c>
      <c r="CV5" s="14">
        <v>0</v>
      </c>
      <c r="CW5" s="14">
        <v>0</v>
      </c>
      <c r="CX5" s="14">
        <v>18000</v>
      </c>
    </row>
    <row r="6" spans="1:102">
      <c r="A6" s="3">
        <v>4</v>
      </c>
      <c r="B6" s="5" t="s">
        <v>23</v>
      </c>
      <c r="C6" s="7">
        <f>'2016 '!CL6</f>
        <v>0</v>
      </c>
      <c r="D6" s="6">
        <f t="shared" si="0"/>
        <v>0</v>
      </c>
      <c r="E6" s="6">
        <f t="shared" si="1"/>
        <v>0</v>
      </c>
      <c r="F6" s="6">
        <v>500</v>
      </c>
      <c r="G6" s="6">
        <v>2000</v>
      </c>
      <c r="H6" s="6">
        <v>2500</v>
      </c>
      <c r="I6" s="21"/>
      <c r="J6" s="21">
        <f t="shared" si="2"/>
        <v>0</v>
      </c>
      <c r="K6" s="6">
        <f t="shared" si="3"/>
        <v>0</v>
      </c>
      <c r="L6" s="6">
        <f t="shared" si="37"/>
        <v>0</v>
      </c>
      <c r="M6" s="6">
        <v>500</v>
      </c>
      <c r="N6" s="6">
        <v>2000</v>
      </c>
      <c r="O6" s="6">
        <v>2500</v>
      </c>
      <c r="P6" s="6"/>
      <c r="Q6" s="21">
        <f t="shared" si="4"/>
        <v>0</v>
      </c>
      <c r="R6" s="6">
        <f t="shared" si="5"/>
        <v>0</v>
      </c>
      <c r="S6" s="6">
        <f t="shared" si="6"/>
        <v>0</v>
      </c>
      <c r="T6" s="6">
        <v>500</v>
      </c>
      <c r="U6" s="6">
        <v>2000</v>
      </c>
      <c r="V6" s="6">
        <v>2500</v>
      </c>
      <c r="W6" s="6"/>
      <c r="X6" s="21">
        <f t="shared" si="7"/>
        <v>0</v>
      </c>
      <c r="Y6" s="6">
        <f t="shared" si="8"/>
        <v>0</v>
      </c>
      <c r="Z6" s="6">
        <f t="shared" si="9"/>
        <v>0</v>
      </c>
      <c r="AA6" s="6">
        <v>500</v>
      </c>
      <c r="AB6" s="6">
        <v>2000</v>
      </c>
      <c r="AC6" s="6">
        <v>2500</v>
      </c>
      <c r="AD6" s="6"/>
      <c r="AE6" s="21">
        <f t="shared" si="10"/>
        <v>0</v>
      </c>
      <c r="AF6" s="6">
        <f t="shared" si="11"/>
        <v>0</v>
      </c>
      <c r="AG6" s="6">
        <f t="shared" si="12"/>
        <v>0</v>
      </c>
      <c r="AH6" s="6">
        <v>500</v>
      </c>
      <c r="AI6" s="6">
        <v>2000</v>
      </c>
      <c r="AJ6" s="6">
        <v>2500</v>
      </c>
      <c r="AK6" s="6"/>
      <c r="AL6" s="21">
        <f t="shared" si="13"/>
        <v>0</v>
      </c>
      <c r="AM6" s="6">
        <f t="shared" si="14"/>
        <v>0</v>
      </c>
      <c r="AN6" s="6">
        <f t="shared" si="15"/>
        <v>0</v>
      </c>
      <c r="AO6" s="6">
        <v>0</v>
      </c>
      <c r="AP6" s="6">
        <v>0</v>
      </c>
      <c r="AQ6" s="6">
        <v>0</v>
      </c>
      <c r="AR6" s="6">
        <v>0</v>
      </c>
      <c r="AS6" s="6"/>
      <c r="AU6" s="21">
        <f t="shared" si="16"/>
        <v>0</v>
      </c>
      <c r="AV6" s="6">
        <f t="shared" si="17"/>
        <v>0</v>
      </c>
      <c r="AW6" s="6">
        <f t="shared" si="18"/>
        <v>0</v>
      </c>
      <c r="AX6" s="6">
        <v>500</v>
      </c>
      <c r="AY6" s="6">
        <v>0</v>
      </c>
      <c r="AZ6" s="6">
        <v>500</v>
      </c>
      <c r="BA6" s="6"/>
      <c r="BB6" s="21">
        <f t="shared" si="19"/>
        <v>0</v>
      </c>
      <c r="BC6" s="6">
        <f t="shared" si="20"/>
        <v>0</v>
      </c>
      <c r="BD6" s="6">
        <f t="shared" si="21"/>
        <v>0</v>
      </c>
      <c r="BE6" s="6">
        <v>500</v>
      </c>
      <c r="BF6" s="6">
        <v>1500</v>
      </c>
      <c r="BG6" s="6">
        <v>2000</v>
      </c>
      <c r="BH6" s="6">
        <v>100000</v>
      </c>
      <c r="BI6" s="21">
        <f t="shared" si="22"/>
        <v>100000</v>
      </c>
      <c r="BJ6" s="6">
        <f t="shared" si="23"/>
        <v>0</v>
      </c>
      <c r="BK6" s="6">
        <f t="shared" si="24"/>
        <v>500</v>
      </c>
      <c r="BL6" s="6">
        <v>500</v>
      </c>
      <c r="BM6" s="6">
        <v>1500</v>
      </c>
      <c r="BN6" s="6">
        <v>2500</v>
      </c>
      <c r="BO6" s="6">
        <v>100000</v>
      </c>
      <c r="BP6" s="21">
        <f t="shared" si="25"/>
        <v>200000</v>
      </c>
      <c r="BQ6" s="6">
        <f t="shared" si="26"/>
        <v>7500</v>
      </c>
      <c r="BR6" s="6">
        <f t="shared" si="27"/>
        <v>1000</v>
      </c>
      <c r="BS6" s="6">
        <v>500</v>
      </c>
      <c r="BT6" s="6">
        <v>1500</v>
      </c>
      <c r="BU6" s="6">
        <v>10500</v>
      </c>
      <c r="BV6" s="6"/>
      <c r="BW6" s="21">
        <f t="shared" si="28"/>
        <v>192500</v>
      </c>
      <c r="BX6" s="6">
        <f t="shared" si="29"/>
        <v>8037</v>
      </c>
      <c r="BY6" s="6">
        <f t="shared" si="30"/>
        <v>963</v>
      </c>
      <c r="BZ6" s="6">
        <v>500</v>
      </c>
      <c r="CA6" s="6">
        <v>1500</v>
      </c>
      <c r="CB6" s="6">
        <v>11000</v>
      </c>
      <c r="CC6" s="6"/>
      <c r="CD6" s="21">
        <f t="shared" si="31"/>
        <v>184463</v>
      </c>
      <c r="CE6" s="6">
        <f t="shared" si="32"/>
        <v>7078</v>
      </c>
      <c r="CF6" s="6">
        <f t="shared" si="33"/>
        <v>922</v>
      </c>
      <c r="CG6" s="6">
        <v>500</v>
      </c>
      <c r="CH6" s="6">
        <v>1500</v>
      </c>
      <c r="CI6" s="6">
        <v>10000</v>
      </c>
      <c r="CJ6" s="6"/>
      <c r="CK6" s="5" t="s">
        <v>23</v>
      </c>
      <c r="CL6" s="14">
        <f t="shared" si="34"/>
        <v>177385</v>
      </c>
      <c r="CM6" s="14">
        <v>0</v>
      </c>
      <c r="CN6" s="14">
        <v>5000</v>
      </c>
      <c r="CO6" s="14">
        <v>5000</v>
      </c>
      <c r="CP6" s="14">
        <f>'2016 '!CS6</f>
        <v>93746</v>
      </c>
      <c r="CQ6" s="14">
        <f t="shared" ref="CQ6:CQ25" si="38">CP6+F6+M6+T6+AA6+AH6+AO6+AX6+BE6+BL6+BS6+BZ6+CG6</f>
        <v>99246</v>
      </c>
      <c r="CR6" s="3">
        <f t="shared" si="35"/>
        <v>2985</v>
      </c>
      <c r="CS6" s="41">
        <f t="shared" si="36"/>
        <v>102231</v>
      </c>
      <c r="CT6" s="14">
        <v>156887</v>
      </c>
      <c r="CU6" s="14">
        <v>2613</v>
      </c>
      <c r="CV6" s="14">
        <v>157500</v>
      </c>
      <c r="CW6" s="14">
        <v>613</v>
      </c>
      <c r="CX6" s="14">
        <v>6000</v>
      </c>
    </row>
    <row r="7" spans="1:102">
      <c r="A7" s="3">
        <v>5</v>
      </c>
      <c r="B7" s="5" t="s">
        <v>24</v>
      </c>
      <c r="C7" s="7">
        <f>'2016 '!CL7</f>
        <v>16878</v>
      </c>
      <c r="D7" s="6">
        <f t="shared" si="0"/>
        <v>2916</v>
      </c>
      <c r="E7" s="6">
        <f t="shared" si="1"/>
        <v>84</v>
      </c>
      <c r="F7" s="6">
        <v>1000</v>
      </c>
      <c r="G7" s="6">
        <v>2000</v>
      </c>
      <c r="H7" s="6">
        <v>6000</v>
      </c>
      <c r="I7" s="21">
        <v>80000</v>
      </c>
      <c r="J7" s="21">
        <f t="shared" si="2"/>
        <v>93962</v>
      </c>
      <c r="K7" s="6">
        <f t="shared" si="3"/>
        <v>2530</v>
      </c>
      <c r="L7" s="6">
        <f t="shared" si="37"/>
        <v>470</v>
      </c>
      <c r="M7" s="6">
        <v>1000</v>
      </c>
      <c r="N7" s="6">
        <v>2000</v>
      </c>
      <c r="O7" s="6">
        <v>6000</v>
      </c>
      <c r="P7" s="6"/>
      <c r="Q7" s="21">
        <f t="shared" si="4"/>
        <v>91432</v>
      </c>
      <c r="R7" s="6">
        <f t="shared" si="5"/>
        <v>2543</v>
      </c>
      <c r="S7" s="6">
        <f t="shared" si="6"/>
        <v>457</v>
      </c>
      <c r="T7" s="6">
        <v>1000</v>
      </c>
      <c r="U7" s="6">
        <v>2000</v>
      </c>
      <c r="V7" s="6">
        <v>6000</v>
      </c>
      <c r="W7" s="6"/>
      <c r="X7" s="21">
        <f t="shared" si="7"/>
        <v>88889</v>
      </c>
      <c r="Y7" s="6">
        <f t="shared" si="8"/>
        <v>2556</v>
      </c>
      <c r="Z7" s="6">
        <f t="shared" si="9"/>
        <v>444</v>
      </c>
      <c r="AA7" s="6">
        <v>1000</v>
      </c>
      <c r="AB7" s="6">
        <v>2000</v>
      </c>
      <c r="AC7" s="6">
        <v>6000</v>
      </c>
      <c r="AD7" s="6"/>
      <c r="AE7" s="21">
        <f t="shared" si="10"/>
        <v>86333</v>
      </c>
      <c r="AF7" s="6">
        <f t="shared" si="11"/>
        <v>6568</v>
      </c>
      <c r="AG7" s="6">
        <f t="shared" si="12"/>
        <v>432</v>
      </c>
      <c r="AH7" s="6">
        <v>1000</v>
      </c>
      <c r="AI7" s="6">
        <v>2000</v>
      </c>
      <c r="AJ7" s="6">
        <v>10000</v>
      </c>
      <c r="AK7" s="6"/>
      <c r="AL7" s="21">
        <f t="shared" si="13"/>
        <v>79765</v>
      </c>
      <c r="AM7" s="6">
        <f t="shared" si="14"/>
        <v>14601</v>
      </c>
      <c r="AN7" s="6">
        <f t="shared" si="15"/>
        <v>399</v>
      </c>
      <c r="AO7" s="6">
        <v>1000</v>
      </c>
      <c r="AP7" s="6">
        <v>0</v>
      </c>
      <c r="AQ7" s="6">
        <v>16000</v>
      </c>
      <c r="AR7" s="6">
        <v>10000</v>
      </c>
      <c r="AS7" s="6"/>
      <c r="AU7" s="21">
        <f t="shared" si="16"/>
        <v>65164</v>
      </c>
      <c r="AV7" s="6">
        <f t="shared" si="17"/>
        <v>4674</v>
      </c>
      <c r="AW7" s="6">
        <f t="shared" si="18"/>
        <v>326</v>
      </c>
      <c r="AX7" s="6">
        <v>1000</v>
      </c>
      <c r="AY7" s="6">
        <v>0</v>
      </c>
      <c r="AZ7" s="21">
        <v>6000</v>
      </c>
      <c r="BA7" s="6"/>
      <c r="BB7" s="21">
        <f t="shared" si="19"/>
        <v>60490</v>
      </c>
      <c r="BC7" s="6">
        <f t="shared" si="20"/>
        <v>3698</v>
      </c>
      <c r="BD7" s="6">
        <f t="shared" si="21"/>
        <v>302</v>
      </c>
      <c r="BE7" s="6">
        <v>1000</v>
      </c>
      <c r="BF7" s="6">
        <v>1000</v>
      </c>
      <c r="BG7" s="6">
        <v>6000</v>
      </c>
      <c r="BH7" s="6"/>
      <c r="BI7" s="21">
        <f t="shared" si="22"/>
        <v>56792</v>
      </c>
      <c r="BJ7" s="6">
        <f t="shared" si="23"/>
        <v>3716</v>
      </c>
      <c r="BK7" s="6">
        <f t="shared" si="24"/>
        <v>284</v>
      </c>
      <c r="BL7" s="6">
        <v>1000</v>
      </c>
      <c r="BM7" s="6">
        <v>1000</v>
      </c>
      <c r="BN7" s="6">
        <v>6000</v>
      </c>
      <c r="BO7" s="6"/>
      <c r="BP7" s="21">
        <f t="shared" si="25"/>
        <v>53076</v>
      </c>
      <c r="BQ7" s="6">
        <f t="shared" si="26"/>
        <v>3735</v>
      </c>
      <c r="BR7" s="6">
        <f t="shared" si="27"/>
        <v>265</v>
      </c>
      <c r="BS7" s="6">
        <v>1000</v>
      </c>
      <c r="BT7" s="6">
        <v>1000</v>
      </c>
      <c r="BU7" s="6">
        <v>6000</v>
      </c>
      <c r="BV7" s="6"/>
      <c r="BW7" s="21">
        <f t="shared" si="28"/>
        <v>49341</v>
      </c>
      <c r="BX7" s="6">
        <f t="shared" si="29"/>
        <v>3753</v>
      </c>
      <c r="BY7" s="6">
        <f t="shared" si="30"/>
        <v>247</v>
      </c>
      <c r="BZ7" s="6">
        <v>1000</v>
      </c>
      <c r="CA7" s="6">
        <v>1000</v>
      </c>
      <c r="CB7" s="6">
        <v>6000</v>
      </c>
      <c r="CC7" s="6"/>
      <c r="CD7" s="21">
        <f t="shared" si="31"/>
        <v>45588</v>
      </c>
      <c r="CE7" s="6">
        <f t="shared" si="32"/>
        <v>3772</v>
      </c>
      <c r="CF7" s="6">
        <f t="shared" si="33"/>
        <v>228</v>
      </c>
      <c r="CG7" s="6">
        <v>1000</v>
      </c>
      <c r="CH7" s="6">
        <v>1000</v>
      </c>
      <c r="CI7" s="6">
        <v>6000</v>
      </c>
      <c r="CJ7" s="6"/>
      <c r="CK7" s="5" t="s">
        <v>24</v>
      </c>
      <c r="CL7" s="14">
        <f t="shared" si="34"/>
        <v>41816</v>
      </c>
      <c r="CM7" s="14">
        <v>49745</v>
      </c>
      <c r="CN7" s="14">
        <v>5000</v>
      </c>
      <c r="CO7" s="14">
        <v>5000</v>
      </c>
      <c r="CP7" s="14">
        <f>'2016 '!CS7</f>
        <v>100358</v>
      </c>
      <c r="CQ7" s="14">
        <f>CP7+F7+M7+T7+AA7+AH7+AO7+AX7+BE7+BL7+BS7+BZ7+CG7-50000</f>
        <v>62358</v>
      </c>
      <c r="CR7" s="3">
        <f t="shared" si="35"/>
        <v>1876</v>
      </c>
      <c r="CS7" s="41">
        <f t="shared" si="36"/>
        <v>64234</v>
      </c>
      <c r="CT7" s="14">
        <v>49800</v>
      </c>
      <c r="CU7" s="14">
        <v>1576</v>
      </c>
      <c r="CV7" s="14">
        <v>0</v>
      </c>
      <c r="CW7" s="14">
        <v>0</v>
      </c>
      <c r="CX7" s="14">
        <v>12624</v>
      </c>
    </row>
    <row r="8" spans="1:102">
      <c r="A8" s="3">
        <v>6</v>
      </c>
      <c r="B8" s="5" t="s">
        <v>25</v>
      </c>
      <c r="C8" s="7">
        <f>'2016 '!CL8</f>
        <v>73795</v>
      </c>
      <c r="D8" s="6">
        <f t="shared" si="0"/>
        <v>2131</v>
      </c>
      <c r="E8" s="6">
        <f t="shared" si="1"/>
        <v>369</v>
      </c>
      <c r="F8" s="6">
        <v>500</v>
      </c>
      <c r="G8" s="6">
        <v>2000</v>
      </c>
      <c r="H8" s="6">
        <v>5000</v>
      </c>
      <c r="I8" s="21"/>
      <c r="J8" s="21">
        <f t="shared" si="2"/>
        <v>71664</v>
      </c>
      <c r="K8" s="6">
        <f t="shared" si="3"/>
        <v>2142</v>
      </c>
      <c r="L8" s="6">
        <f t="shared" si="37"/>
        <v>358</v>
      </c>
      <c r="M8" s="6">
        <v>500</v>
      </c>
      <c r="N8" s="6">
        <v>2000</v>
      </c>
      <c r="O8" s="6">
        <v>5000</v>
      </c>
      <c r="P8" s="6"/>
      <c r="Q8" s="21">
        <f t="shared" si="4"/>
        <v>69522</v>
      </c>
      <c r="R8" s="6">
        <f t="shared" si="5"/>
        <v>2152</v>
      </c>
      <c r="S8" s="6">
        <f t="shared" si="6"/>
        <v>348</v>
      </c>
      <c r="T8" s="6">
        <v>500</v>
      </c>
      <c r="U8" s="6">
        <v>2000</v>
      </c>
      <c r="V8" s="6">
        <v>5000</v>
      </c>
      <c r="W8" s="6">
        <v>5000</v>
      </c>
      <c r="X8" s="21">
        <f t="shared" si="7"/>
        <v>72370</v>
      </c>
      <c r="Y8" s="6">
        <f t="shared" si="8"/>
        <v>2138</v>
      </c>
      <c r="Z8" s="6">
        <f t="shared" si="9"/>
        <v>362</v>
      </c>
      <c r="AA8" s="6">
        <v>500</v>
      </c>
      <c r="AB8" s="6">
        <v>2000</v>
      </c>
      <c r="AC8" s="6">
        <v>5000</v>
      </c>
      <c r="AD8" s="6"/>
      <c r="AE8" s="21">
        <f t="shared" si="10"/>
        <v>70232</v>
      </c>
      <c r="AF8" s="6">
        <f t="shared" si="11"/>
        <v>2149</v>
      </c>
      <c r="AG8" s="6">
        <f t="shared" si="12"/>
        <v>351</v>
      </c>
      <c r="AH8" s="6">
        <v>500</v>
      </c>
      <c r="AI8" s="6">
        <v>2000</v>
      </c>
      <c r="AJ8" s="6">
        <v>5000</v>
      </c>
      <c r="AK8" s="6"/>
      <c r="AL8" s="21">
        <f t="shared" si="13"/>
        <v>68083</v>
      </c>
      <c r="AM8" s="6">
        <f t="shared" si="14"/>
        <v>4160</v>
      </c>
      <c r="AN8" s="6">
        <f t="shared" si="15"/>
        <v>340</v>
      </c>
      <c r="AO8" s="6">
        <v>500</v>
      </c>
      <c r="AP8" s="6">
        <v>0</v>
      </c>
      <c r="AQ8" s="6">
        <v>5000</v>
      </c>
      <c r="AR8" s="6">
        <v>0</v>
      </c>
      <c r="AS8" s="6"/>
      <c r="AU8" s="21">
        <f t="shared" si="16"/>
        <v>63923</v>
      </c>
      <c r="AV8" s="6">
        <f t="shared" si="17"/>
        <v>4180</v>
      </c>
      <c r="AW8" s="6">
        <f t="shared" si="18"/>
        <v>320</v>
      </c>
      <c r="AX8" s="6">
        <v>500</v>
      </c>
      <c r="AY8" s="6">
        <v>0</v>
      </c>
      <c r="AZ8" s="6">
        <v>5000</v>
      </c>
      <c r="BA8" s="6"/>
      <c r="BB8" s="21">
        <f t="shared" si="19"/>
        <v>59743</v>
      </c>
      <c r="BC8" s="6">
        <f t="shared" si="20"/>
        <v>2701</v>
      </c>
      <c r="BD8" s="6">
        <f t="shared" si="21"/>
        <v>299</v>
      </c>
      <c r="BE8" s="6">
        <v>500</v>
      </c>
      <c r="BF8" s="6">
        <v>1500</v>
      </c>
      <c r="BG8" s="6">
        <v>5000</v>
      </c>
      <c r="BH8" s="6"/>
      <c r="BI8" s="21">
        <f t="shared" si="22"/>
        <v>57042</v>
      </c>
      <c r="BJ8" s="6">
        <f t="shared" si="23"/>
        <v>2715</v>
      </c>
      <c r="BK8" s="6">
        <f t="shared" si="24"/>
        <v>285</v>
      </c>
      <c r="BL8" s="6">
        <v>500</v>
      </c>
      <c r="BM8" s="6">
        <v>1500</v>
      </c>
      <c r="BN8" s="6">
        <v>5000</v>
      </c>
      <c r="BO8" s="6"/>
      <c r="BP8" s="21">
        <f t="shared" si="25"/>
        <v>54327</v>
      </c>
      <c r="BQ8" s="6">
        <f t="shared" si="26"/>
        <v>2728</v>
      </c>
      <c r="BR8" s="6">
        <f t="shared" si="27"/>
        <v>272</v>
      </c>
      <c r="BS8" s="6">
        <v>500</v>
      </c>
      <c r="BT8" s="6">
        <v>1500</v>
      </c>
      <c r="BU8" s="6">
        <v>5000</v>
      </c>
      <c r="BV8" s="6"/>
      <c r="BW8" s="21">
        <f t="shared" si="28"/>
        <v>51599</v>
      </c>
      <c r="BX8" s="6">
        <f t="shared" si="29"/>
        <v>2742</v>
      </c>
      <c r="BY8" s="6">
        <f t="shared" si="30"/>
        <v>258</v>
      </c>
      <c r="BZ8" s="6">
        <v>500</v>
      </c>
      <c r="CA8" s="6">
        <v>1500</v>
      </c>
      <c r="CB8" s="6">
        <v>5000</v>
      </c>
      <c r="CC8" s="6"/>
      <c r="CD8" s="21">
        <f t="shared" si="31"/>
        <v>48857</v>
      </c>
      <c r="CE8" s="6">
        <f t="shared" si="32"/>
        <v>2756</v>
      </c>
      <c r="CF8" s="6">
        <f t="shared" si="33"/>
        <v>244</v>
      </c>
      <c r="CG8" s="6">
        <v>500</v>
      </c>
      <c r="CH8" s="6">
        <v>1500</v>
      </c>
      <c r="CI8" s="6">
        <v>5000</v>
      </c>
      <c r="CJ8" s="6">
        <v>55000</v>
      </c>
      <c r="CK8" s="5" t="s">
        <v>25</v>
      </c>
      <c r="CL8" s="14">
        <f t="shared" si="34"/>
        <v>101101</v>
      </c>
      <c r="CM8" s="14">
        <v>10990</v>
      </c>
      <c r="CN8" s="14">
        <v>5000</v>
      </c>
      <c r="CO8" s="14">
        <v>5000</v>
      </c>
      <c r="CP8" s="14">
        <f>'2016 '!CS8</f>
        <v>93629</v>
      </c>
      <c r="CQ8" s="14">
        <f>CP8+F8+M8+T8+AA8+AH8+AO8+AX8+BE8+BL8+BS8+BZ8+CG8</f>
        <v>99629</v>
      </c>
      <c r="CR8" s="3">
        <f t="shared" si="35"/>
        <v>2997</v>
      </c>
      <c r="CS8" s="41">
        <f t="shared" si="36"/>
        <v>102626</v>
      </c>
      <c r="CT8" s="14">
        <v>21216</v>
      </c>
      <c r="CU8" s="14">
        <v>1339</v>
      </c>
      <c r="CV8" s="14">
        <v>67000</v>
      </c>
      <c r="CW8" s="14">
        <v>56774</v>
      </c>
      <c r="CX8" s="14">
        <v>6000</v>
      </c>
    </row>
    <row r="9" spans="1:102">
      <c r="A9" s="3">
        <v>7</v>
      </c>
      <c r="B9" s="5" t="s">
        <v>26</v>
      </c>
      <c r="C9" s="7">
        <f>'2016 '!CL9</f>
        <v>19389</v>
      </c>
      <c r="D9" s="6">
        <f t="shared" si="0"/>
        <v>19403</v>
      </c>
      <c r="E9" s="6">
        <f t="shared" si="1"/>
        <v>97</v>
      </c>
      <c r="F9" s="6">
        <v>500</v>
      </c>
      <c r="G9" s="6">
        <v>1000</v>
      </c>
      <c r="H9" s="6">
        <v>21000</v>
      </c>
      <c r="I9" s="21">
        <v>24000</v>
      </c>
      <c r="J9" s="21">
        <f t="shared" si="2"/>
        <v>23986</v>
      </c>
      <c r="K9" s="6">
        <f t="shared" si="3"/>
        <v>380</v>
      </c>
      <c r="L9" s="6">
        <f t="shared" si="37"/>
        <v>120</v>
      </c>
      <c r="M9" s="6">
        <v>500</v>
      </c>
      <c r="N9" s="6">
        <v>1000</v>
      </c>
      <c r="O9" s="6">
        <v>2000</v>
      </c>
      <c r="P9" s="6"/>
      <c r="Q9" s="21">
        <f t="shared" si="4"/>
        <v>23606</v>
      </c>
      <c r="R9" s="6">
        <f t="shared" si="5"/>
        <v>1382</v>
      </c>
      <c r="S9" s="6">
        <f t="shared" si="6"/>
        <v>118</v>
      </c>
      <c r="T9" s="6">
        <v>500</v>
      </c>
      <c r="U9" s="6">
        <v>1000</v>
      </c>
      <c r="V9" s="6">
        <v>3000</v>
      </c>
      <c r="W9" s="6">
        <v>5000</v>
      </c>
      <c r="X9" s="21">
        <f t="shared" si="7"/>
        <v>27224</v>
      </c>
      <c r="Y9" s="6">
        <f t="shared" si="8"/>
        <v>1364</v>
      </c>
      <c r="Z9" s="6">
        <f t="shared" si="9"/>
        <v>136</v>
      </c>
      <c r="AA9" s="6">
        <v>500</v>
      </c>
      <c r="AB9" s="6">
        <v>1000</v>
      </c>
      <c r="AC9" s="6">
        <v>3000</v>
      </c>
      <c r="AD9" s="6"/>
      <c r="AE9" s="21">
        <f t="shared" si="10"/>
        <v>25860</v>
      </c>
      <c r="AF9" s="6">
        <f t="shared" si="11"/>
        <v>1371</v>
      </c>
      <c r="AG9" s="6">
        <f t="shared" si="12"/>
        <v>129</v>
      </c>
      <c r="AH9" s="6">
        <v>500</v>
      </c>
      <c r="AI9" s="6">
        <v>1000</v>
      </c>
      <c r="AJ9" s="6">
        <v>3000</v>
      </c>
      <c r="AK9" s="6">
        <v>10000</v>
      </c>
      <c r="AL9" s="21">
        <f t="shared" si="13"/>
        <v>34489</v>
      </c>
      <c r="AM9" s="6">
        <f t="shared" si="14"/>
        <v>0</v>
      </c>
      <c r="AN9" s="6">
        <f t="shared" si="15"/>
        <v>172</v>
      </c>
      <c r="AO9" s="6">
        <v>500</v>
      </c>
      <c r="AP9" s="6">
        <v>0</v>
      </c>
      <c r="AQ9" s="6">
        <v>672</v>
      </c>
      <c r="AR9" s="6">
        <v>0</v>
      </c>
      <c r="AS9" s="6">
        <v>672</v>
      </c>
      <c r="AU9" s="21">
        <f t="shared" si="16"/>
        <v>35161</v>
      </c>
      <c r="AV9" s="6">
        <f t="shared" si="17"/>
        <v>0</v>
      </c>
      <c r="AW9" s="6">
        <f t="shared" si="18"/>
        <v>176</v>
      </c>
      <c r="AX9" s="6">
        <v>500</v>
      </c>
      <c r="AY9" s="6">
        <v>0</v>
      </c>
      <c r="AZ9" s="28">
        <v>676</v>
      </c>
      <c r="BA9" s="6">
        <v>676</v>
      </c>
      <c r="BB9" s="21">
        <f t="shared" si="19"/>
        <v>35837</v>
      </c>
      <c r="BC9" s="6">
        <f t="shared" si="20"/>
        <v>21</v>
      </c>
      <c r="BD9" s="6">
        <f t="shared" si="21"/>
        <v>179</v>
      </c>
      <c r="BE9" s="6">
        <v>500</v>
      </c>
      <c r="BF9" s="6">
        <v>0</v>
      </c>
      <c r="BG9" s="6">
        <v>700</v>
      </c>
      <c r="BH9" s="6"/>
      <c r="BI9" s="21">
        <f t="shared" si="22"/>
        <v>35816</v>
      </c>
      <c r="BJ9" s="6">
        <f t="shared" si="23"/>
        <v>1321</v>
      </c>
      <c r="BK9" s="6">
        <f t="shared" si="24"/>
        <v>179</v>
      </c>
      <c r="BL9" s="6">
        <v>500</v>
      </c>
      <c r="BM9" s="6">
        <v>0</v>
      </c>
      <c r="BN9" s="6">
        <v>2000</v>
      </c>
      <c r="BO9" s="6"/>
      <c r="BP9" s="21">
        <f t="shared" si="25"/>
        <v>34495</v>
      </c>
      <c r="BQ9" s="6">
        <f t="shared" si="26"/>
        <v>0</v>
      </c>
      <c r="BR9" s="6">
        <f t="shared" si="27"/>
        <v>172</v>
      </c>
      <c r="BS9" s="6">
        <v>500</v>
      </c>
      <c r="BT9" s="6">
        <v>0</v>
      </c>
      <c r="BU9" s="21">
        <v>672</v>
      </c>
      <c r="BV9" s="6">
        <v>5672</v>
      </c>
      <c r="BW9" s="21">
        <f t="shared" si="28"/>
        <v>40167</v>
      </c>
      <c r="BX9" s="6">
        <f t="shared" si="29"/>
        <v>0</v>
      </c>
      <c r="BY9" s="6">
        <f t="shared" si="30"/>
        <v>201</v>
      </c>
      <c r="BZ9" s="6">
        <v>500</v>
      </c>
      <c r="CA9" s="6">
        <v>0</v>
      </c>
      <c r="CB9" s="21">
        <v>701</v>
      </c>
      <c r="CC9" s="6">
        <v>23701</v>
      </c>
      <c r="CD9" s="21">
        <f t="shared" si="31"/>
        <v>63868</v>
      </c>
      <c r="CE9" s="6">
        <f t="shared" si="32"/>
        <v>2681</v>
      </c>
      <c r="CF9" s="6">
        <f t="shared" si="33"/>
        <v>319</v>
      </c>
      <c r="CG9" s="6">
        <v>500</v>
      </c>
      <c r="CH9" s="6">
        <v>0</v>
      </c>
      <c r="CI9" s="6">
        <v>3500</v>
      </c>
      <c r="CJ9" s="6">
        <v>10000</v>
      </c>
      <c r="CK9" s="5" t="s">
        <v>26</v>
      </c>
      <c r="CL9" s="14">
        <f t="shared" si="34"/>
        <v>71187</v>
      </c>
      <c r="CM9" s="14">
        <v>111359</v>
      </c>
      <c r="CN9" s="14">
        <v>5000</v>
      </c>
      <c r="CO9" s="14"/>
      <c r="CP9" s="14">
        <f>'2016 '!CS9</f>
        <v>12879</v>
      </c>
      <c r="CQ9" s="14">
        <f t="shared" si="38"/>
        <v>18879</v>
      </c>
      <c r="CR9" s="3">
        <f t="shared" si="35"/>
        <v>568</v>
      </c>
      <c r="CS9" s="41">
        <f t="shared" si="36"/>
        <v>19447</v>
      </c>
      <c r="CT9" s="14">
        <v>16276</v>
      </c>
      <c r="CU9" s="14">
        <v>6609</v>
      </c>
      <c r="CV9" s="14">
        <v>25185</v>
      </c>
      <c r="CW9" s="14">
        <v>120252</v>
      </c>
      <c r="CX9" s="14">
        <v>6000</v>
      </c>
    </row>
    <row r="10" spans="1:102">
      <c r="A10" s="3">
        <v>8</v>
      </c>
      <c r="B10" s="5" t="s">
        <v>27</v>
      </c>
      <c r="C10" s="7">
        <f>'2016 '!CL10</f>
        <v>0</v>
      </c>
      <c r="D10" s="6">
        <f t="shared" si="0"/>
        <v>0</v>
      </c>
      <c r="E10" s="6">
        <f t="shared" si="1"/>
        <v>0</v>
      </c>
      <c r="F10" s="6">
        <v>500</v>
      </c>
      <c r="G10" s="6">
        <v>0</v>
      </c>
      <c r="H10" s="6">
        <v>500</v>
      </c>
      <c r="I10" s="21"/>
      <c r="J10" s="21">
        <f t="shared" si="2"/>
        <v>0</v>
      </c>
      <c r="K10" s="6">
        <f t="shared" si="3"/>
        <v>0</v>
      </c>
      <c r="L10" s="6">
        <f t="shared" si="37"/>
        <v>0</v>
      </c>
      <c r="M10" s="6">
        <v>500</v>
      </c>
      <c r="N10" s="6">
        <v>0</v>
      </c>
      <c r="O10" s="6">
        <v>500</v>
      </c>
      <c r="P10" s="6"/>
      <c r="Q10" s="21">
        <f t="shared" si="4"/>
        <v>0</v>
      </c>
      <c r="R10" s="6">
        <f t="shared" si="5"/>
        <v>0</v>
      </c>
      <c r="S10" s="6">
        <f t="shared" si="6"/>
        <v>0</v>
      </c>
      <c r="T10" s="6">
        <v>500</v>
      </c>
      <c r="U10" s="6">
        <v>0</v>
      </c>
      <c r="V10" s="6">
        <v>500</v>
      </c>
      <c r="W10" s="6"/>
      <c r="X10" s="21">
        <f t="shared" si="7"/>
        <v>0</v>
      </c>
      <c r="Y10" s="6">
        <f t="shared" si="8"/>
        <v>0</v>
      </c>
      <c r="Z10" s="6">
        <f t="shared" si="9"/>
        <v>0</v>
      </c>
      <c r="AA10" s="6">
        <v>500</v>
      </c>
      <c r="AB10" s="6">
        <v>0</v>
      </c>
      <c r="AC10" s="6">
        <v>500</v>
      </c>
      <c r="AD10" s="6"/>
      <c r="AE10" s="21">
        <f t="shared" si="10"/>
        <v>0</v>
      </c>
      <c r="AF10" s="6">
        <f t="shared" si="11"/>
        <v>0</v>
      </c>
      <c r="AG10" s="6">
        <f t="shared" si="12"/>
        <v>0</v>
      </c>
      <c r="AH10" s="6">
        <v>500</v>
      </c>
      <c r="AI10" s="6">
        <v>0</v>
      </c>
      <c r="AJ10" s="6">
        <v>500</v>
      </c>
      <c r="AK10" s="6"/>
      <c r="AL10" s="21">
        <f t="shared" si="13"/>
        <v>0</v>
      </c>
      <c r="AM10" s="6">
        <f t="shared" si="14"/>
        <v>0</v>
      </c>
      <c r="AN10" s="6">
        <f t="shared" si="15"/>
        <v>0</v>
      </c>
      <c r="AO10" s="6">
        <v>500</v>
      </c>
      <c r="AP10" s="6">
        <v>0</v>
      </c>
      <c r="AQ10" s="6">
        <v>500</v>
      </c>
      <c r="AR10" s="6">
        <v>0</v>
      </c>
      <c r="AS10" s="6"/>
      <c r="AU10" s="21">
        <f t="shared" si="16"/>
        <v>0</v>
      </c>
      <c r="AV10" s="6">
        <f t="shared" si="17"/>
        <v>0</v>
      </c>
      <c r="AW10" s="6">
        <f t="shared" si="18"/>
        <v>0</v>
      </c>
      <c r="AX10" s="6">
        <v>500</v>
      </c>
      <c r="AY10" s="6">
        <v>0</v>
      </c>
      <c r="AZ10" s="28">
        <v>500</v>
      </c>
      <c r="BA10" s="6">
        <v>500</v>
      </c>
      <c r="BB10" s="21">
        <f t="shared" si="19"/>
        <v>500</v>
      </c>
      <c r="BC10" s="6">
        <f t="shared" si="20"/>
        <v>500</v>
      </c>
      <c r="BD10" s="6">
        <f t="shared" si="21"/>
        <v>3</v>
      </c>
      <c r="BE10" s="6">
        <v>500</v>
      </c>
      <c r="BF10" s="6">
        <v>0</v>
      </c>
      <c r="BG10" s="6">
        <v>1003</v>
      </c>
      <c r="BH10" s="6"/>
      <c r="BI10" s="21">
        <f t="shared" si="22"/>
        <v>0</v>
      </c>
      <c r="BJ10" s="6">
        <f t="shared" si="23"/>
        <v>0</v>
      </c>
      <c r="BK10" s="6">
        <f t="shared" si="24"/>
        <v>0</v>
      </c>
      <c r="BL10" s="6">
        <v>500</v>
      </c>
      <c r="BM10" s="6">
        <v>0</v>
      </c>
      <c r="BN10" s="6">
        <v>500</v>
      </c>
      <c r="BO10" s="6"/>
      <c r="BP10" s="21">
        <f t="shared" si="25"/>
        <v>0</v>
      </c>
      <c r="BQ10" s="6">
        <f t="shared" si="26"/>
        <v>0</v>
      </c>
      <c r="BR10" s="6">
        <f t="shared" si="27"/>
        <v>0</v>
      </c>
      <c r="BS10" s="6">
        <v>500</v>
      </c>
      <c r="BT10" s="6">
        <v>0</v>
      </c>
      <c r="BU10" s="21">
        <v>500</v>
      </c>
      <c r="BV10" s="6">
        <v>500</v>
      </c>
      <c r="BW10" s="21">
        <f t="shared" si="28"/>
        <v>500</v>
      </c>
      <c r="BX10" s="6">
        <f t="shared" si="29"/>
        <v>500</v>
      </c>
      <c r="BY10" s="6">
        <f t="shared" si="30"/>
        <v>3</v>
      </c>
      <c r="BZ10" s="6">
        <v>500</v>
      </c>
      <c r="CA10" s="6">
        <v>0</v>
      </c>
      <c r="CB10" s="6">
        <v>1003</v>
      </c>
      <c r="CC10" s="6"/>
      <c r="CD10" s="21">
        <f t="shared" si="31"/>
        <v>0</v>
      </c>
      <c r="CE10" s="6">
        <f t="shared" si="32"/>
        <v>0</v>
      </c>
      <c r="CF10" s="6">
        <f t="shared" si="33"/>
        <v>0</v>
      </c>
      <c r="CG10" s="6">
        <v>500</v>
      </c>
      <c r="CH10" s="6">
        <v>0</v>
      </c>
      <c r="CI10" s="6">
        <v>500</v>
      </c>
      <c r="CJ10" s="6"/>
      <c r="CK10" s="5" t="s">
        <v>27</v>
      </c>
      <c r="CL10" s="14">
        <f t="shared" si="34"/>
        <v>0</v>
      </c>
      <c r="CM10" s="14">
        <v>0</v>
      </c>
      <c r="CN10" s="14">
        <v>0</v>
      </c>
      <c r="CO10" s="14"/>
      <c r="CP10" s="14">
        <f>'2016 '!CS10</f>
        <v>58986</v>
      </c>
      <c r="CQ10" s="14">
        <f t="shared" si="38"/>
        <v>64986</v>
      </c>
      <c r="CR10" s="3">
        <f t="shared" si="35"/>
        <v>1955</v>
      </c>
      <c r="CS10" s="41">
        <f t="shared" si="36"/>
        <v>66941</v>
      </c>
      <c r="CT10" s="14">
        <v>0</v>
      </c>
      <c r="CU10" s="14">
        <v>0</v>
      </c>
      <c r="CV10" s="14">
        <v>0</v>
      </c>
      <c r="CW10" s="14">
        <v>0</v>
      </c>
      <c r="CX10" s="14">
        <v>6000</v>
      </c>
    </row>
    <row r="11" spans="1:102">
      <c r="A11" s="3">
        <v>9</v>
      </c>
      <c r="B11" s="5" t="s">
        <v>28</v>
      </c>
      <c r="C11" s="7">
        <f>'2016 '!CL11</f>
        <v>70169</v>
      </c>
      <c r="D11" s="6">
        <f t="shared" si="0"/>
        <v>2649</v>
      </c>
      <c r="E11" s="6">
        <f t="shared" si="1"/>
        <v>351</v>
      </c>
      <c r="F11" s="6">
        <v>500</v>
      </c>
      <c r="G11" s="6">
        <v>1500</v>
      </c>
      <c r="H11" s="6">
        <v>5000</v>
      </c>
      <c r="I11" s="21"/>
      <c r="J11" s="21">
        <f t="shared" si="2"/>
        <v>67520</v>
      </c>
      <c r="K11" s="6">
        <f t="shared" si="3"/>
        <v>2662</v>
      </c>
      <c r="L11" s="6">
        <f t="shared" si="37"/>
        <v>338</v>
      </c>
      <c r="M11" s="6">
        <v>500</v>
      </c>
      <c r="N11" s="6">
        <v>1500</v>
      </c>
      <c r="O11" s="6">
        <v>5000</v>
      </c>
      <c r="P11" s="6"/>
      <c r="Q11" s="21">
        <f t="shared" si="4"/>
        <v>64858</v>
      </c>
      <c r="R11" s="6">
        <f t="shared" si="5"/>
        <v>2676</v>
      </c>
      <c r="S11" s="6">
        <f t="shared" si="6"/>
        <v>324</v>
      </c>
      <c r="T11" s="6">
        <v>500</v>
      </c>
      <c r="U11" s="6">
        <v>1500</v>
      </c>
      <c r="V11" s="6">
        <v>5000</v>
      </c>
      <c r="W11" s="6"/>
      <c r="X11" s="21">
        <f t="shared" si="7"/>
        <v>62182</v>
      </c>
      <c r="Y11" s="6">
        <f t="shared" si="8"/>
        <v>2689</v>
      </c>
      <c r="Z11" s="6">
        <f t="shared" si="9"/>
        <v>311</v>
      </c>
      <c r="AA11" s="6">
        <v>500</v>
      </c>
      <c r="AB11" s="6">
        <v>1500</v>
      </c>
      <c r="AC11" s="6">
        <v>5000</v>
      </c>
      <c r="AD11" s="6">
        <v>30000</v>
      </c>
      <c r="AE11" s="21">
        <f t="shared" si="10"/>
        <v>89493</v>
      </c>
      <c r="AF11" s="6">
        <f t="shared" si="11"/>
        <v>2553</v>
      </c>
      <c r="AG11" s="6">
        <f t="shared" si="12"/>
        <v>447</v>
      </c>
      <c r="AH11" s="6">
        <v>500</v>
      </c>
      <c r="AI11" s="6">
        <v>1500</v>
      </c>
      <c r="AJ11" s="6">
        <v>5000</v>
      </c>
      <c r="AK11" s="6">
        <v>70000</v>
      </c>
      <c r="AL11" s="21">
        <f t="shared" si="13"/>
        <v>156940</v>
      </c>
      <c r="AM11" s="6">
        <f t="shared" si="14"/>
        <v>13715</v>
      </c>
      <c r="AN11" s="6">
        <f t="shared" si="15"/>
        <v>785</v>
      </c>
      <c r="AO11" s="6">
        <v>500</v>
      </c>
      <c r="AP11" s="6">
        <v>0</v>
      </c>
      <c r="AQ11" s="6">
        <v>15000</v>
      </c>
      <c r="AR11" s="6">
        <v>0</v>
      </c>
      <c r="AS11" s="6"/>
      <c r="AU11" s="21">
        <f t="shared" si="16"/>
        <v>143225</v>
      </c>
      <c r="AV11" s="6">
        <f t="shared" si="17"/>
        <v>13784</v>
      </c>
      <c r="AW11" s="6">
        <f t="shared" si="18"/>
        <v>716</v>
      </c>
      <c r="AX11" s="6">
        <v>500</v>
      </c>
      <c r="AY11" s="6">
        <v>0</v>
      </c>
      <c r="AZ11" s="6">
        <v>15000</v>
      </c>
      <c r="BA11" s="6"/>
      <c r="BB11" s="21">
        <f t="shared" si="19"/>
        <v>129441</v>
      </c>
      <c r="BC11" s="6">
        <f t="shared" si="20"/>
        <v>10853</v>
      </c>
      <c r="BD11" s="6">
        <f t="shared" si="21"/>
        <v>647</v>
      </c>
      <c r="BE11" s="6">
        <v>500</v>
      </c>
      <c r="BF11" s="6">
        <v>0</v>
      </c>
      <c r="BG11" s="6">
        <v>12000</v>
      </c>
      <c r="BH11" s="6"/>
      <c r="BI11" s="21">
        <f t="shared" si="22"/>
        <v>118588</v>
      </c>
      <c r="BJ11" s="6">
        <f t="shared" si="23"/>
        <v>8907</v>
      </c>
      <c r="BK11" s="6">
        <f t="shared" si="24"/>
        <v>593</v>
      </c>
      <c r="BL11" s="6">
        <v>500</v>
      </c>
      <c r="BM11" s="6">
        <v>0</v>
      </c>
      <c r="BN11" s="6">
        <v>10000</v>
      </c>
      <c r="BO11" s="6"/>
      <c r="BP11" s="21">
        <f t="shared" si="25"/>
        <v>109681</v>
      </c>
      <c r="BQ11" s="6">
        <f t="shared" si="26"/>
        <v>8952</v>
      </c>
      <c r="BR11" s="6">
        <f t="shared" si="27"/>
        <v>548</v>
      </c>
      <c r="BS11" s="6">
        <v>500</v>
      </c>
      <c r="BT11" s="6">
        <v>0</v>
      </c>
      <c r="BU11" s="6">
        <v>10000</v>
      </c>
      <c r="BV11" s="6"/>
      <c r="BW11" s="21">
        <f t="shared" si="28"/>
        <v>100729</v>
      </c>
      <c r="BX11" s="6">
        <f t="shared" si="29"/>
        <v>6996</v>
      </c>
      <c r="BY11" s="6">
        <f t="shared" si="30"/>
        <v>504</v>
      </c>
      <c r="BZ11" s="6">
        <v>500</v>
      </c>
      <c r="CA11" s="6">
        <v>0</v>
      </c>
      <c r="CB11" s="6">
        <v>8000</v>
      </c>
      <c r="CC11" s="6"/>
      <c r="CD11" s="21">
        <f t="shared" si="31"/>
        <v>93733</v>
      </c>
      <c r="CE11" s="6">
        <f t="shared" si="32"/>
        <v>7031</v>
      </c>
      <c r="CF11" s="6">
        <f t="shared" si="33"/>
        <v>469</v>
      </c>
      <c r="CG11" s="6">
        <v>500</v>
      </c>
      <c r="CH11" s="6">
        <v>0</v>
      </c>
      <c r="CI11" s="6">
        <v>8000</v>
      </c>
      <c r="CJ11" s="6"/>
      <c r="CK11" s="5" t="s">
        <v>28</v>
      </c>
      <c r="CL11" s="14">
        <f t="shared" si="34"/>
        <v>86702</v>
      </c>
      <c r="CM11" s="14">
        <v>140266</v>
      </c>
      <c r="CN11" s="14">
        <v>0</v>
      </c>
      <c r="CO11" s="14"/>
      <c r="CP11" s="14">
        <f>'2016 '!CS11</f>
        <v>59109</v>
      </c>
      <c r="CQ11" s="14">
        <f t="shared" si="38"/>
        <v>65109</v>
      </c>
      <c r="CR11" s="3">
        <f t="shared" si="35"/>
        <v>1959</v>
      </c>
      <c r="CS11" s="41">
        <f t="shared" si="36"/>
        <v>67068</v>
      </c>
      <c r="CT11" s="14">
        <v>46589</v>
      </c>
      <c r="CU11" s="14">
        <v>12777</v>
      </c>
      <c r="CV11" s="14">
        <v>145366</v>
      </c>
      <c r="CW11" s="14">
        <v>239097</v>
      </c>
      <c r="CX11" s="14">
        <v>6000</v>
      </c>
    </row>
    <row r="12" spans="1:102">
      <c r="A12" s="3">
        <v>10</v>
      </c>
      <c r="B12" s="5" t="s">
        <v>29</v>
      </c>
      <c r="C12" s="7">
        <f>'2016 '!CL12</f>
        <v>75218</v>
      </c>
      <c r="D12" s="6">
        <f t="shared" si="0"/>
        <v>3624</v>
      </c>
      <c r="E12" s="6">
        <f t="shared" si="1"/>
        <v>376</v>
      </c>
      <c r="F12" s="6">
        <v>500</v>
      </c>
      <c r="G12" s="6">
        <v>1500</v>
      </c>
      <c r="H12" s="6">
        <v>6000</v>
      </c>
      <c r="I12" s="21"/>
      <c r="J12" s="21">
        <f t="shared" si="2"/>
        <v>71594</v>
      </c>
      <c r="K12" s="6">
        <f t="shared" si="3"/>
        <v>3642</v>
      </c>
      <c r="L12" s="6">
        <f t="shared" si="37"/>
        <v>358</v>
      </c>
      <c r="M12" s="6">
        <v>500</v>
      </c>
      <c r="N12" s="6">
        <v>1500</v>
      </c>
      <c r="O12" s="6">
        <v>6000</v>
      </c>
      <c r="P12" s="6">
        <v>128000</v>
      </c>
      <c r="Q12" s="21">
        <f t="shared" si="4"/>
        <v>195952</v>
      </c>
      <c r="R12" s="6">
        <f t="shared" si="5"/>
        <v>20</v>
      </c>
      <c r="S12" s="6">
        <f t="shared" si="6"/>
        <v>980</v>
      </c>
      <c r="T12" s="6">
        <v>500</v>
      </c>
      <c r="U12" s="6">
        <v>1500</v>
      </c>
      <c r="V12" s="6">
        <v>3000</v>
      </c>
      <c r="W12" s="6"/>
      <c r="X12" s="21">
        <f t="shared" si="7"/>
        <v>195932</v>
      </c>
      <c r="Y12" s="6">
        <f t="shared" si="8"/>
        <v>12020</v>
      </c>
      <c r="Z12" s="6">
        <f t="shared" si="9"/>
        <v>980</v>
      </c>
      <c r="AA12" s="6">
        <v>500</v>
      </c>
      <c r="AB12" s="6">
        <v>1500</v>
      </c>
      <c r="AC12" s="6">
        <v>15000</v>
      </c>
      <c r="AD12" s="6"/>
      <c r="AE12" s="21">
        <f t="shared" si="10"/>
        <v>183912</v>
      </c>
      <c r="AF12" s="6">
        <f t="shared" si="11"/>
        <v>12080</v>
      </c>
      <c r="AG12" s="6">
        <f t="shared" si="12"/>
        <v>920</v>
      </c>
      <c r="AH12" s="6">
        <v>500</v>
      </c>
      <c r="AI12" s="6">
        <v>1500</v>
      </c>
      <c r="AJ12" s="6">
        <v>15000</v>
      </c>
      <c r="AK12" s="6"/>
      <c r="AL12" s="21">
        <f t="shared" si="13"/>
        <v>171832</v>
      </c>
      <c r="AM12" s="6">
        <f t="shared" si="14"/>
        <v>10641</v>
      </c>
      <c r="AN12" s="6">
        <f t="shared" si="15"/>
        <v>859</v>
      </c>
      <c r="AO12" s="6">
        <v>500</v>
      </c>
      <c r="AP12" s="6">
        <v>0</v>
      </c>
      <c r="AQ12" s="6">
        <v>12000</v>
      </c>
      <c r="AR12" s="6">
        <v>0</v>
      </c>
      <c r="AS12" s="6"/>
      <c r="AU12" s="21">
        <f t="shared" si="16"/>
        <v>161191</v>
      </c>
      <c r="AV12" s="6">
        <f t="shared" si="17"/>
        <v>14694</v>
      </c>
      <c r="AW12" s="6">
        <f t="shared" si="18"/>
        <v>806</v>
      </c>
      <c r="AX12" s="6">
        <v>500</v>
      </c>
      <c r="AY12" s="6">
        <v>0</v>
      </c>
      <c r="AZ12" s="6">
        <v>16000</v>
      </c>
      <c r="BA12" s="6"/>
      <c r="BB12" s="21">
        <f t="shared" si="19"/>
        <v>146497</v>
      </c>
      <c r="BC12" s="6">
        <f t="shared" si="20"/>
        <v>14768</v>
      </c>
      <c r="BD12" s="6">
        <f t="shared" si="21"/>
        <v>732</v>
      </c>
      <c r="BE12" s="6">
        <v>500</v>
      </c>
      <c r="BF12" s="6">
        <v>0</v>
      </c>
      <c r="BG12" s="6">
        <v>16000</v>
      </c>
      <c r="BH12" s="6"/>
      <c r="BI12" s="21">
        <f t="shared" si="22"/>
        <v>131729</v>
      </c>
      <c r="BJ12" s="6">
        <f t="shared" si="23"/>
        <v>58841</v>
      </c>
      <c r="BK12" s="6">
        <f t="shared" si="24"/>
        <v>659</v>
      </c>
      <c r="BL12" s="6">
        <v>500</v>
      </c>
      <c r="BM12" s="6">
        <v>0</v>
      </c>
      <c r="BN12" s="6">
        <v>60000</v>
      </c>
      <c r="BO12" s="6">
        <v>7000</v>
      </c>
      <c r="BP12" s="21">
        <f t="shared" si="25"/>
        <v>79888</v>
      </c>
      <c r="BQ12" s="6">
        <f t="shared" si="26"/>
        <v>16131</v>
      </c>
      <c r="BR12" s="6">
        <f t="shared" si="27"/>
        <v>399</v>
      </c>
      <c r="BS12" s="6">
        <v>500</v>
      </c>
      <c r="BT12" s="6">
        <v>0</v>
      </c>
      <c r="BU12" s="6">
        <v>17030</v>
      </c>
      <c r="BV12" s="6"/>
      <c r="BW12" s="21">
        <f t="shared" si="28"/>
        <v>63757</v>
      </c>
      <c r="BX12" s="6">
        <f t="shared" si="29"/>
        <v>63756</v>
      </c>
      <c r="BY12" s="6">
        <f t="shared" si="30"/>
        <v>319</v>
      </c>
      <c r="BZ12" s="6">
        <v>500</v>
      </c>
      <c r="CA12" s="6">
        <v>0</v>
      </c>
      <c r="CB12" s="6">
        <v>64575</v>
      </c>
      <c r="CC12" s="6"/>
      <c r="CD12" s="21">
        <f t="shared" si="31"/>
        <v>1</v>
      </c>
      <c r="CE12" s="6">
        <f t="shared" si="32"/>
        <v>0</v>
      </c>
      <c r="CF12" s="6">
        <f t="shared" si="33"/>
        <v>0</v>
      </c>
      <c r="CG12" s="6">
        <v>500</v>
      </c>
      <c r="CH12" s="6">
        <v>0</v>
      </c>
      <c r="CI12" s="6">
        <v>500</v>
      </c>
      <c r="CJ12" s="6">
        <v>80000</v>
      </c>
      <c r="CK12" s="5" t="s">
        <v>29</v>
      </c>
      <c r="CL12" s="14">
        <f t="shared" si="34"/>
        <v>80001</v>
      </c>
      <c r="CM12" s="14">
        <v>150361</v>
      </c>
      <c r="CN12" s="14">
        <v>0</v>
      </c>
      <c r="CO12" s="14"/>
      <c r="CP12" s="14">
        <f>'2016 '!CS12</f>
        <v>58698</v>
      </c>
      <c r="CQ12" s="14">
        <f t="shared" si="38"/>
        <v>64698</v>
      </c>
      <c r="CR12" s="3">
        <f t="shared" si="35"/>
        <v>1946</v>
      </c>
      <c r="CS12" s="41">
        <f t="shared" si="36"/>
        <v>66644</v>
      </c>
      <c r="CT12" s="14">
        <v>60491</v>
      </c>
      <c r="CU12" s="14">
        <v>9147</v>
      </c>
      <c r="CV12" s="14">
        <v>86804</v>
      </c>
      <c r="CW12" s="14">
        <v>176675</v>
      </c>
      <c r="CX12" s="14">
        <v>12000</v>
      </c>
    </row>
    <row r="13" spans="1:102">
      <c r="A13" s="3">
        <v>11</v>
      </c>
      <c r="B13" s="5" t="s">
        <v>30</v>
      </c>
      <c r="C13" s="7">
        <f>'2016 '!CL13</f>
        <v>0</v>
      </c>
      <c r="D13" s="6">
        <f t="shared" si="0"/>
        <v>0</v>
      </c>
      <c r="E13" s="6">
        <f t="shared" si="1"/>
        <v>0</v>
      </c>
      <c r="F13" s="6">
        <v>2000</v>
      </c>
      <c r="G13" s="6">
        <v>0</v>
      </c>
      <c r="H13" s="6">
        <v>2000</v>
      </c>
      <c r="I13" s="21"/>
      <c r="J13" s="21">
        <f t="shared" si="2"/>
        <v>0</v>
      </c>
      <c r="K13" s="6">
        <f t="shared" si="3"/>
        <v>0</v>
      </c>
      <c r="L13" s="6">
        <f t="shared" si="37"/>
        <v>0</v>
      </c>
      <c r="M13" s="6">
        <v>2000</v>
      </c>
      <c r="N13" s="6">
        <v>0</v>
      </c>
      <c r="O13" s="6">
        <v>2000</v>
      </c>
      <c r="P13" s="6"/>
      <c r="Q13" s="21">
        <f t="shared" si="4"/>
        <v>0</v>
      </c>
      <c r="R13" s="6">
        <f t="shared" si="5"/>
        <v>0</v>
      </c>
      <c r="S13" s="6">
        <f t="shared" si="6"/>
        <v>0</v>
      </c>
      <c r="T13" s="6">
        <v>2000</v>
      </c>
      <c r="U13" s="6">
        <v>0</v>
      </c>
      <c r="V13" s="6">
        <v>2000</v>
      </c>
      <c r="W13" s="6"/>
      <c r="X13" s="21">
        <f t="shared" si="7"/>
        <v>0</v>
      </c>
      <c r="Y13" s="6">
        <f t="shared" si="8"/>
        <v>0</v>
      </c>
      <c r="Z13" s="6">
        <f t="shared" si="9"/>
        <v>0</v>
      </c>
      <c r="AA13" s="6">
        <v>2000</v>
      </c>
      <c r="AB13" s="6">
        <v>0</v>
      </c>
      <c r="AC13" s="6">
        <v>2000</v>
      </c>
      <c r="AD13" s="6"/>
      <c r="AE13" s="21">
        <f t="shared" si="10"/>
        <v>0</v>
      </c>
      <c r="AF13" s="6">
        <f t="shared" si="11"/>
        <v>0</v>
      </c>
      <c r="AG13" s="6">
        <f t="shared" si="12"/>
        <v>0</v>
      </c>
      <c r="AH13" s="6">
        <v>2000</v>
      </c>
      <c r="AI13" s="6">
        <v>0</v>
      </c>
      <c r="AJ13" s="6">
        <v>2000</v>
      </c>
      <c r="AK13" s="6"/>
      <c r="AL13" s="21">
        <f t="shared" si="13"/>
        <v>0</v>
      </c>
      <c r="AM13" s="6">
        <f t="shared" si="14"/>
        <v>0</v>
      </c>
      <c r="AN13" s="6">
        <f t="shared" si="15"/>
        <v>0</v>
      </c>
      <c r="AO13" s="6">
        <v>2000</v>
      </c>
      <c r="AP13" s="6">
        <v>0</v>
      </c>
      <c r="AQ13" s="6">
        <v>2000</v>
      </c>
      <c r="AR13" s="6">
        <v>0</v>
      </c>
      <c r="AS13" s="6"/>
      <c r="AU13" s="21">
        <f t="shared" si="16"/>
        <v>0</v>
      </c>
      <c r="AV13" s="6">
        <f t="shared" si="17"/>
        <v>0</v>
      </c>
      <c r="AW13" s="6">
        <f t="shared" si="18"/>
        <v>0</v>
      </c>
      <c r="AX13" s="6">
        <v>2000</v>
      </c>
      <c r="AY13" s="6">
        <v>0</v>
      </c>
      <c r="AZ13" s="6">
        <v>2000</v>
      </c>
      <c r="BA13" s="6"/>
      <c r="BB13" s="21">
        <f t="shared" si="19"/>
        <v>0</v>
      </c>
      <c r="BC13" s="6">
        <f t="shared" si="20"/>
        <v>0</v>
      </c>
      <c r="BD13" s="6">
        <f t="shared" si="21"/>
        <v>0</v>
      </c>
      <c r="BE13" s="6">
        <v>2000</v>
      </c>
      <c r="BF13" s="6">
        <v>0</v>
      </c>
      <c r="BG13" s="6">
        <v>2000</v>
      </c>
      <c r="BH13" s="6"/>
      <c r="BI13" s="21">
        <f t="shared" si="22"/>
        <v>0</v>
      </c>
      <c r="BJ13" s="6">
        <f t="shared" si="23"/>
        <v>0</v>
      </c>
      <c r="BK13" s="6">
        <f t="shared" si="24"/>
        <v>0</v>
      </c>
      <c r="BL13" s="6">
        <v>7000</v>
      </c>
      <c r="BM13" s="6">
        <v>0</v>
      </c>
      <c r="BN13" s="6">
        <v>7000</v>
      </c>
      <c r="BO13" s="6"/>
      <c r="BP13" s="21">
        <f t="shared" si="25"/>
        <v>0</v>
      </c>
      <c r="BQ13" s="6">
        <f t="shared" si="26"/>
        <v>0</v>
      </c>
      <c r="BR13" s="6">
        <f t="shared" si="27"/>
        <v>0</v>
      </c>
      <c r="BS13" s="6">
        <v>7000</v>
      </c>
      <c r="BT13" s="6">
        <v>0</v>
      </c>
      <c r="BU13" s="6">
        <v>7000</v>
      </c>
      <c r="BV13" s="6"/>
      <c r="BW13" s="21">
        <f t="shared" si="28"/>
        <v>0</v>
      </c>
      <c r="BX13" s="6">
        <f t="shared" si="29"/>
        <v>0</v>
      </c>
      <c r="BY13" s="6">
        <f t="shared" si="30"/>
        <v>0</v>
      </c>
      <c r="BZ13" s="6">
        <v>7000</v>
      </c>
      <c r="CA13" s="6">
        <v>0</v>
      </c>
      <c r="CB13" s="6">
        <v>7000</v>
      </c>
      <c r="CC13" s="6"/>
      <c r="CD13" s="21">
        <f t="shared" si="31"/>
        <v>0</v>
      </c>
      <c r="CE13" s="6">
        <f t="shared" si="32"/>
        <v>0</v>
      </c>
      <c r="CF13" s="6">
        <f t="shared" si="33"/>
        <v>0</v>
      </c>
      <c r="CG13" s="6">
        <v>7000</v>
      </c>
      <c r="CH13" s="6">
        <v>0</v>
      </c>
      <c r="CI13" s="6">
        <v>7000</v>
      </c>
      <c r="CJ13" s="6"/>
      <c r="CK13" s="5" t="s">
        <v>30</v>
      </c>
      <c r="CL13" s="14">
        <f t="shared" si="34"/>
        <v>0</v>
      </c>
      <c r="CM13" s="14">
        <v>0</v>
      </c>
      <c r="CN13" s="14">
        <v>0</v>
      </c>
      <c r="CO13" s="14"/>
      <c r="CP13" s="14">
        <f>'2016 '!CS13</f>
        <v>87227</v>
      </c>
      <c r="CQ13" s="14">
        <f t="shared" si="38"/>
        <v>131227</v>
      </c>
      <c r="CR13" s="3">
        <f t="shared" si="35"/>
        <v>3948</v>
      </c>
      <c r="CS13" s="41">
        <f t="shared" si="36"/>
        <v>135175</v>
      </c>
      <c r="CT13" s="14">
        <v>0</v>
      </c>
      <c r="CU13" s="14">
        <v>0</v>
      </c>
      <c r="CV13" s="14">
        <v>0</v>
      </c>
      <c r="CW13" s="14">
        <v>0</v>
      </c>
      <c r="CX13" s="14">
        <v>84000</v>
      </c>
    </row>
    <row r="14" spans="1:102">
      <c r="A14" s="3">
        <v>12</v>
      </c>
      <c r="B14" s="5" t="s">
        <v>31</v>
      </c>
      <c r="C14" s="7">
        <f>'2016 '!CL14</f>
        <v>62305</v>
      </c>
      <c r="D14" s="6">
        <f t="shared" si="0"/>
        <v>0</v>
      </c>
      <c r="E14" s="6">
        <f t="shared" si="1"/>
        <v>312</v>
      </c>
      <c r="F14" s="6">
        <v>500</v>
      </c>
      <c r="G14" s="6">
        <v>1000</v>
      </c>
      <c r="H14" s="6">
        <v>1812</v>
      </c>
      <c r="I14" s="21">
        <v>1812</v>
      </c>
      <c r="J14" s="21">
        <f t="shared" si="2"/>
        <v>64117</v>
      </c>
      <c r="K14" s="6">
        <f t="shared" si="3"/>
        <v>0</v>
      </c>
      <c r="L14" s="6">
        <f t="shared" si="37"/>
        <v>321</v>
      </c>
      <c r="M14" s="6">
        <v>500</v>
      </c>
      <c r="N14" s="6">
        <v>1000</v>
      </c>
      <c r="O14" s="6">
        <v>1821</v>
      </c>
      <c r="P14" s="6">
        <v>1821</v>
      </c>
      <c r="Q14" s="21">
        <f t="shared" si="4"/>
        <v>65938</v>
      </c>
      <c r="R14" s="6">
        <f t="shared" si="5"/>
        <v>4670</v>
      </c>
      <c r="S14" s="6">
        <f t="shared" si="6"/>
        <v>330</v>
      </c>
      <c r="T14" s="6">
        <v>500</v>
      </c>
      <c r="U14" s="6">
        <v>1000</v>
      </c>
      <c r="V14" s="6">
        <v>6500</v>
      </c>
      <c r="W14" s="6"/>
      <c r="X14" s="21">
        <f t="shared" si="7"/>
        <v>61268</v>
      </c>
      <c r="Y14" s="6">
        <f t="shared" si="8"/>
        <v>4694</v>
      </c>
      <c r="Z14" s="6">
        <f t="shared" si="9"/>
        <v>306</v>
      </c>
      <c r="AA14" s="6">
        <v>500</v>
      </c>
      <c r="AB14" s="6">
        <v>1000</v>
      </c>
      <c r="AC14" s="6">
        <v>6500</v>
      </c>
      <c r="AD14" s="6"/>
      <c r="AE14" s="21">
        <f t="shared" si="10"/>
        <v>56574</v>
      </c>
      <c r="AF14" s="6">
        <f t="shared" si="11"/>
        <v>0</v>
      </c>
      <c r="AG14" s="6">
        <f t="shared" si="12"/>
        <v>283</v>
      </c>
      <c r="AH14" s="6">
        <v>500</v>
      </c>
      <c r="AI14" s="6">
        <v>1000</v>
      </c>
      <c r="AJ14" s="6">
        <v>1783</v>
      </c>
      <c r="AK14" s="6">
        <v>11783</v>
      </c>
      <c r="AL14" s="21">
        <f t="shared" si="13"/>
        <v>68357</v>
      </c>
      <c r="AM14" s="6">
        <f t="shared" si="14"/>
        <v>5658</v>
      </c>
      <c r="AN14" s="6">
        <f t="shared" si="15"/>
        <v>342</v>
      </c>
      <c r="AO14" s="6">
        <v>500</v>
      </c>
      <c r="AP14" s="6">
        <v>0</v>
      </c>
      <c r="AQ14" s="6">
        <v>6500</v>
      </c>
      <c r="AR14" s="6">
        <v>0</v>
      </c>
      <c r="AS14" s="6"/>
      <c r="AU14" s="21">
        <f t="shared" si="16"/>
        <v>62699</v>
      </c>
      <c r="AV14" s="6">
        <f t="shared" si="17"/>
        <v>4187</v>
      </c>
      <c r="AW14" s="6">
        <f t="shared" si="18"/>
        <v>313</v>
      </c>
      <c r="AX14" s="6">
        <v>500</v>
      </c>
      <c r="AY14" s="6">
        <v>0</v>
      </c>
      <c r="AZ14" s="6">
        <v>5000</v>
      </c>
      <c r="BA14" s="6"/>
      <c r="BB14" s="21">
        <f t="shared" si="19"/>
        <v>58512</v>
      </c>
      <c r="BC14" s="6">
        <f t="shared" si="20"/>
        <v>1207</v>
      </c>
      <c r="BD14" s="6">
        <f t="shared" si="21"/>
        <v>293</v>
      </c>
      <c r="BE14" s="6">
        <v>500</v>
      </c>
      <c r="BF14" s="6">
        <v>0</v>
      </c>
      <c r="BG14" s="6">
        <v>2000</v>
      </c>
      <c r="BH14" s="6"/>
      <c r="BI14" s="21">
        <f t="shared" si="22"/>
        <v>57305</v>
      </c>
      <c r="BJ14" s="6">
        <f t="shared" si="23"/>
        <v>4213</v>
      </c>
      <c r="BK14" s="6">
        <f t="shared" si="24"/>
        <v>287</v>
      </c>
      <c r="BL14" s="6">
        <v>500</v>
      </c>
      <c r="BM14" s="6">
        <v>0</v>
      </c>
      <c r="BN14" s="6">
        <v>5000</v>
      </c>
      <c r="BO14" s="6"/>
      <c r="BP14" s="21">
        <f t="shared" si="25"/>
        <v>53092</v>
      </c>
      <c r="BQ14" s="6">
        <f t="shared" si="26"/>
        <v>4235</v>
      </c>
      <c r="BR14" s="6">
        <f t="shared" si="27"/>
        <v>265</v>
      </c>
      <c r="BS14" s="6">
        <v>500</v>
      </c>
      <c r="BT14" s="6">
        <v>0</v>
      </c>
      <c r="BU14" s="6">
        <v>5000</v>
      </c>
      <c r="BV14" s="6">
        <v>30000</v>
      </c>
      <c r="BW14" s="21">
        <f t="shared" si="28"/>
        <v>78857</v>
      </c>
      <c r="BX14" s="6">
        <f t="shared" si="29"/>
        <v>0</v>
      </c>
      <c r="BY14" s="6">
        <f t="shared" si="30"/>
        <v>394</v>
      </c>
      <c r="BZ14" s="6">
        <v>500</v>
      </c>
      <c r="CA14" s="6">
        <v>0</v>
      </c>
      <c r="CB14" s="21">
        <v>894</v>
      </c>
      <c r="CC14" s="6">
        <v>894</v>
      </c>
      <c r="CD14" s="21">
        <f t="shared" si="31"/>
        <v>79751</v>
      </c>
      <c r="CE14" s="6">
        <f t="shared" si="32"/>
        <v>4101</v>
      </c>
      <c r="CF14" s="6">
        <f t="shared" si="33"/>
        <v>399</v>
      </c>
      <c r="CG14" s="6">
        <v>500</v>
      </c>
      <c r="CH14" s="6">
        <v>0</v>
      </c>
      <c r="CI14" s="6">
        <v>5000</v>
      </c>
      <c r="CJ14" s="6">
        <v>70000</v>
      </c>
      <c r="CK14" s="5" t="s">
        <v>31</v>
      </c>
      <c r="CL14" s="14">
        <f t="shared" si="34"/>
        <v>145650</v>
      </c>
      <c r="CM14" s="14">
        <v>112486</v>
      </c>
      <c r="CN14" s="14">
        <v>5000</v>
      </c>
      <c r="CO14" s="14"/>
      <c r="CP14" s="14">
        <f>'2016 '!CS14</f>
        <v>37849</v>
      </c>
      <c r="CQ14" s="14">
        <f t="shared" si="38"/>
        <v>43849</v>
      </c>
      <c r="CR14" s="3">
        <f t="shared" si="35"/>
        <v>1319</v>
      </c>
      <c r="CS14" s="41">
        <f t="shared" si="36"/>
        <v>45168</v>
      </c>
      <c r="CT14" s="14">
        <v>36309</v>
      </c>
      <c r="CU14" s="14">
        <v>6296</v>
      </c>
      <c r="CV14" s="14">
        <v>10555</v>
      </c>
      <c r="CW14" s="14">
        <v>86790</v>
      </c>
      <c r="CX14" s="14">
        <v>12000</v>
      </c>
    </row>
    <row r="15" spans="1:102">
      <c r="A15" s="3">
        <v>13</v>
      </c>
      <c r="B15" s="5" t="s">
        <v>32</v>
      </c>
      <c r="C15" s="7">
        <f>'2016 '!CL15</f>
        <v>55445</v>
      </c>
      <c r="D15" s="6">
        <f t="shared" si="0"/>
        <v>8223</v>
      </c>
      <c r="E15" s="6">
        <f t="shared" si="1"/>
        <v>277</v>
      </c>
      <c r="F15" s="6">
        <v>500</v>
      </c>
      <c r="G15" s="6">
        <v>1000</v>
      </c>
      <c r="H15" s="6">
        <v>10000</v>
      </c>
      <c r="I15" s="21"/>
      <c r="J15" s="21">
        <f t="shared" si="2"/>
        <v>47222</v>
      </c>
      <c r="K15" s="6">
        <f t="shared" si="3"/>
        <v>4264</v>
      </c>
      <c r="L15" s="6">
        <f t="shared" si="37"/>
        <v>236</v>
      </c>
      <c r="M15" s="6">
        <v>500</v>
      </c>
      <c r="N15" s="6">
        <v>1000</v>
      </c>
      <c r="O15" s="6">
        <v>6000</v>
      </c>
      <c r="P15" s="6"/>
      <c r="Q15" s="21">
        <f t="shared" si="4"/>
        <v>42958</v>
      </c>
      <c r="R15" s="6">
        <f t="shared" si="5"/>
        <v>5285</v>
      </c>
      <c r="S15" s="6">
        <f t="shared" si="6"/>
        <v>215</v>
      </c>
      <c r="T15" s="6">
        <v>500</v>
      </c>
      <c r="U15" s="6">
        <v>1000</v>
      </c>
      <c r="V15" s="6">
        <v>7000</v>
      </c>
      <c r="W15" s="6"/>
      <c r="X15" s="21">
        <f t="shared" si="7"/>
        <v>37673</v>
      </c>
      <c r="Y15" s="6">
        <f t="shared" si="8"/>
        <v>9312</v>
      </c>
      <c r="Z15" s="6">
        <f t="shared" si="9"/>
        <v>188</v>
      </c>
      <c r="AA15" s="6">
        <v>500</v>
      </c>
      <c r="AB15" s="6">
        <v>1000</v>
      </c>
      <c r="AC15" s="6">
        <v>11000</v>
      </c>
      <c r="AD15" s="6"/>
      <c r="AE15" s="21">
        <f t="shared" si="10"/>
        <v>28361</v>
      </c>
      <c r="AF15" s="6">
        <f t="shared" si="11"/>
        <v>4358</v>
      </c>
      <c r="AG15" s="6">
        <f t="shared" si="12"/>
        <v>142</v>
      </c>
      <c r="AH15" s="6">
        <v>500</v>
      </c>
      <c r="AI15" s="6">
        <v>1000</v>
      </c>
      <c r="AJ15" s="6">
        <v>6000</v>
      </c>
      <c r="AK15" s="6"/>
      <c r="AL15" s="21">
        <f t="shared" si="13"/>
        <v>24003</v>
      </c>
      <c r="AM15" s="6">
        <f t="shared" si="14"/>
        <v>6380</v>
      </c>
      <c r="AN15" s="6">
        <f t="shared" si="15"/>
        <v>120</v>
      </c>
      <c r="AO15" s="6">
        <v>500</v>
      </c>
      <c r="AP15" s="6">
        <v>0</v>
      </c>
      <c r="AQ15" s="6">
        <v>7000</v>
      </c>
      <c r="AR15" s="6">
        <v>0</v>
      </c>
      <c r="AS15" s="6">
        <v>5000</v>
      </c>
      <c r="AU15" s="21">
        <f t="shared" si="16"/>
        <v>22623</v>
      </c>
      <c r="AV15" s="6">
        <f t="shared" si="17"/>
        <v>2387</v>
      </c>
      <c r="AW15" s="6">
        <f t="shared" si="18"/>
        <v>113</v>
      </c>
      <c r="AX15" s="6">
        <v>500</v>
      </c>
      <c r="AY15" s="6">
        <v>0</v>
      </c>
      <c r="AZ15" s="6">
        <v>3000</v>
      </c>
      <c r="BA15" s="6">
        <v>20000</v>
      </c>
      <c r="BB15" s="21">
        <f t="shared" si="19"/>
        <v>40236</v>
      </c>
      <c r="BC15" s="6">
        <f t="shared" si="20"/>
        <v>2699</v>
      </c>
      <c r="BD15" s="6">
        <f t="shared" si="21"/>
        <v>201</v>
      </c>
      <c r="BE15" s="6">
        <v>500</v>
      </c>
      <c r="BF15" s="6">
        <v>1000</v>
      </c>
      <c r="BG15" s="6">
        <v>4400</v>
      </c>
      <c r="BH15" s="6"/>
      <c r="BI15" s="21">
        <f t="shared" si="22"/>
        <v>37537</v>
      </c>
      <c r="BJ15" s="6">
        <f t="shared" si="23"/>
        <v>2712</v>
      </c>
      <c r="BK15" s="6">
        <f t="shared" si="24"/>
        <v>188</v>
      </c>
      <c r="BL15" s="6">
        <v>500</v>
      </c>
      <c r="BM15" s="6">
        <v>1000</v>
      </c>
      <c r="BN15" s="6">
        <v>4400</v>
      </c>
      <c r="BO15" s="6"/>
      <c r="BP15" s="21">
        <f t="shared" si="25"/>
        <v>34825</v>
      </c>
      <c r="BQ15" s="6">
        <f t="shared" si="26"/>
        <v>3326</v>
      </c>
      <c r="BR15" s="6">
        <f t="shared" si="27"/>
        <v>174</v>
      </c>
      <c r="BS15" s="6">
        <v>500</v>
      </c>
      <c r="BT15" s="6">
        <v>1000</v>
      </c>
      <c r="BU15" s="6">
        <v>5000</v>
      </c>
      <c r="BV15" s="6"/>
      <c r="BW15" s="21">
        <f t="shared" si="28"/>
        <v>31499</v>
      </c>
      <c r="BX15" s="6">
        <f t="shared" si="29"/>
        <v>3343</v>
      </c>
      <c r="BY15" s="6">
        <f t="shared" si="30"/>
        <v>157</v>
      </c>
      <c r="BZ15" s="6">
        <v>500</v>
      </c>
      <c r="CA15" s="6">
        <v>1000</v>
      </c>
      <c r="CB15" s="6">
        <v>5000</v>
      </c>
      <c r="CC15" s="6"/>
      <c r="CD15" s="21">
        <f t="shared" si="31"/>
        <v>28156</v>
      </c>
      <c r="CE15" s="6">
        <f t="shared" si="32"/>
        <v>359</v>
      </c>
      <c r="CF15" s="6">
        <f t="shared" si="33"/>
        <v>141</v>
      </c>
      <c r="CG15" s="6">
        <v>500</v>
      </c>
      <c r="CH15" s="6">
        <v>1000</v>
      </c>
      <c r="CI15" s="6">
        <v>2000</v>
      </c>
      <c r="CJ15" s="6"/>
      <c r="CK15" s="5" t="s">
        <v>32</v>
      </c>
      <c r="CL15" s="14">
        <f t="shared" si="34"/>
        <v>27797</v>
      </c>
      <c r="CM15" s="14">
        <v>109188</v>
      </c>
      <c r="CN15" s="14">
        <v>0</v>
      </c>
      <c r="CO15" s="14">
        <v>10000</v>
      </c>
      <c r="CP15" s="14">
        <f>'2016 '!CS15</f>
        <v>39843</v>
      </c>
      <c r="CQ15" s="14">
        <f t="shared" si="38"/>
        <v>45843</v>
      </c>
      <c r="CR15" s="3">
        <f t="shared" si="35"/>
        <v>1379</v>
      </c>
      <c r="CS15" s="41">
        <f t="shared" si="36"/>
        <v>47222</v>
      </c>
      <c r="CT15" s="14">
        <v>38804</v>
      </c>
      <c r="CU15" s="14">
        <v>5752</v>
      </c>
      <c r="CV15" s="14">
        <v>6956</v>
      </c>
      <c r="CW15" s="14">
        <v>77392</v>
      </c>
      <c r="CX15" s="14">
        <v>12000</v>
      </c>
    </row>
    <row r="16" spans="1:102">
      <c r="A16" s="3">
        <v>14</v>
      </c>
      <c r="B16" s="5" t="s">
        <v>33</v>
      </c>
      <c r="C16" s="7">
        <f>'2016 '!CL16</f>
        <v>161830</v>
      </c>
      <c r="D16" s="6">
        <f t="shared" si="0"/>
        <v>191</v>
      </c>
      <c r="E16" s="6">
        <f t="shared" si="1"/>
        <v>809</v>
      </c>
      <c r="F16" s="6">
        <v>500</v>
      </c>
      <c r="G16" s="6">
        <v>1000</v>
      </c>
      <c r="H16" s="6">
        <v>2500</v>
      </c>
      <c r="I16" s="21"/>
      <c r="J16" s="21">
        <f t="shared" si="2"/>
        <v>161639</v>
      </c>
      <c r="K16" s="6">
        <f t="shared" si="3"/>
        <v>17692</v>
      </c>
      <c r="L16" s="6">
        <f t="shared" si="37"/>
        <v>808</v>
      </c>
      <c r="M16" s="6">
        <v>500</v>
      </c>
      <c r="N16" s="6">
        <v>1000</v>
      </c>
      <c r="O16" s="6">
        <v>20000</v>
      </c>
      <c r="P16" s="6"/>
      <c r="Q16" s="21">
        <f t="shared" si="4"/>
        <v>143947</v>
      </c>
      <c r="R16" s="6">
        <f t="shared" si="5"/>
        <v>12780</v>
      </c>
      <c r="S16" s="6">
        <f t="shared" si="6"/>
        <v>720</v>
      </c>
      <c r="T16" s="6">
        <v>500</v>
      </c>
      <c r="U16" s="6">
        <v>1000</v>
      </c>
      <c r="V16" s="6">
        <v>15000</v>
      </c>
      <c r="W16" s="6"/>
      <c r="X16" s="21">
        <f t="shared" si="7"/>
        <v>131167</v>
      </c>
      <c r="Y16" s="6">
        <f t="shared" si="8"/>
        <v>12844</v>
      </c>
      <c r="Z16" s="6">
        <f t="shared" si="9"/>
        <v>656</v>
      </c>
      <c r="AA16" s="6">
        <v>500</v>
      </c>
      <c r="AB16" s="6">
        <v>1000</v>
      </c>
      <c r="AC16" s="6">
        <v>15000</v>
      </c>
      <c r="AD16" s="6"/>
      <c r="AE16" s="21">
        <f t="shared" si="10"/>
        <v>118323</v>
      </c>
      <c r="AF16" s="6">
        <f t="shared" si="11"/>
        <v>17908</v>
      </c>
      <c r="AG16" s="6">
        <f t="shared" si="12"/>
        <v>592</v>
      </c>
      <c r="AH16" s="6">
        <v>500</v>
      </c>
      <c r="AI16" s="6">
        <v>1000</v>
      </c>
      <c r="AJ16" s="6">
        <v>20000</v>
      </c>
      <c r="AK16" s="6"/>
      <c r="AL16" s="21">
        <f t="shared" si="13"/>
        <v>100415</v>
      </c>
      <c r="AM16" s="6">
        <f t="shared" si="14"/>
        <v>28998</v>
      </c>
      <c r="AN16" s="6">
        <f t="shared" si="15"/>
        <v>502</v>
      </c>
      <c r="AO16" s="6">
        <v>500</v>
      </c>
      <c r="AP16" s="6">
        <v>0</v>
      </c>
      <c r="AQ16" s="6">
        <v>30000</v>
      </c>
      <c r="AR16" s="6">
        <v>15000</v>
      </c>
      <c r="AS16" s="6"/>
      <c r="AU16" s="21">
        <f t="shared" si="16"/>
        <v>71417</v>
      </c>
      <c r="AV16" s="6">
        <f t="shared" si="17"/>
        <v>19143</v>
      </c>
      <c r="AW16" s="6">
        <f t="shared" si="18"/>
        <v>357</v>
      </c>
      <c r="AX16" s="6">
        <v>500</v>
      </c>
      <c r="AY16" s="6">
        <v>0</v>
      </c>
      <c r="AZ16" s="21">
        <v>20000</v>
      </c>
      <c r="BA16" s="6"/>
      <c r="BB16" s="21">
        <f t="shared" si="19"/>
        <v>52274</v>
      </c>
      <c r="BC16" s="6">
        <f t="shared" si="20"/>
        <v>17739</v>
      </c>
      <c r="BD16" s="6">
        <f t="shared" si="21"/>
        <v>261</v>
      </c>
      <c r="BE16" s="6">
        <v>500</v>
      </c>
      <c r="BF16" s="6">
        <v>1500</v>
      </c>
      <c r="BG16" s="6">
        <v>20000</v>
      </c>
      <c r="BH16" s="6"/>
      <c r="BI16" s="21">
        <f t="shared" si="22"/>
        <v>34535</v>
      </c>
      <c r="BJ16" s="6">
        <f t="shared" si="23"/>
        <v>17827</v>
      </c>
      <c r="BK16" s="6">
        <f t="shared" si="24"/>
        <v>173</v>
      </c>
      <c r="BL16" s="6">
        <v>500</v>
      </c>
      <c r="BM16" s="6">
        <v>1500</v>
      </c>
      <c r="BN16" s="6">
        <v>20000</v>
      </c>
      <c r="BO16" s="6"/>
      <c r="BP16" s="21">
        <f t="shared" si="25"/>
        <v>16708</v>
      </c>
      <c r="BQ16" s="6">
        <f t="shared" si="26"/>
        <v>13916</v>
      </c>
      <c r="BR16" s="6">
        <f t="shared" si="27"/>
        <v>84</v>
      </c>
      <c r="BS16" s="6">
        <v>500</v>
      </c>
      <c r="BT16" s="6">
        <v>1500</v>
      </c>
      <c r="BU16" s="6">
        <v>16000</v>
      </c>
      <c r="BV16" s="6"/>
      <c r="BW16" s="21">
        <f t="shared" si="28"/>
        <v>2792</v>
      </c>
      <c r="BX16" s="6">
        <f t="shared" si="29"/>
        <v>1986</v>
      </c>
      <c r="BY16" s="6">
        <f t="shared" si="30"/>
        <v>14</v>
      </c>
      <c r="BZ16" s="6">
        <v>500</v>
      </c>
      <c r="CA16" s="6">
        <v>1500</v>
      </c>
      <c r="CB16" s="6">
        <v>4000</v>
      </c>
      <c r="CC16" s="6"/>
      <c r="CD16" s="21">
        <f t="shared" si="31"/>
        <v>806</v>
      </c>
      <c r="CE16" s="6">
        <f t="shared" si="32"/>
        <v>-4</v>
      </c>
      <c r="CF16" s="6">
        <f t="shared" si="33"/>
        <v>4</v>
      </c>
      <c r="CG16" s="6">
        <v>500</v>
      </c>
      <c r="CH16" s="6">
        <v>1500</v>
      </c>
      <c r="CI16" s="6">
        <v>2000</v>
      </c>
      <c r="CJ16" s="6"/>
      <c r="CK16" s="5" t="s">
        <v>33</v>
      </c>
      <c r="CL16" s="14">
        <f t="shared" si="34"/>
        <v>810</v>
      </c>
      <c r="CM16" s="14">
        <v>56114</v>
      </c>
      <c r="CN16" s="14">
        <v>5000</v>
      </c>
      <c r="CO16" s="14">
        <v>5000</v>
      </c>
      <c r="CP16" s="14">
        <f>'2016 '!CS16</f>
        <v>34670</v>
      </c>
      <c r="CQ16" s="14">
        <f t="shared" si="38"/>
        <v>40670</v>
      </c>
      <c r="CR16" s="3">
        <f t="shared" si="35"/>
        <v>1223</v>
      </c>
      <c r="CS16" s="41">
        <f t="shared" si="36"/>
        <v>41893</v>
      </c>
      <c r="CT16" s="14">
        <v>25172</v>
      </c>
      <c r="CU16" s="14">
        <v>1927</v>
      </c>
      <c r="CV16" s="14">
        <v>52099</v>
      </c>
      <c r="CW16" s="14">
        <v>71939</v>
      </c>
      <c r="CX16" s="14">
        <v>12000</v>
      </c>
    </row>
    <row r="17" spans="1:102">
      <c r="A17" s="3">
        <v>15</v>
      </c>
      <c r="B17" s="5" t="s">
        <v>34</v>
      </c>
      <c r="C17" s="7">
        <f>'2016 '!CL17</f>
        <v>0</v>
      </c>
      <c r="D17" s="6">
        <f t="shared" si="0"/>
        <v>0</v>
      </c>
      <c r="E17" s="6">
        <f t="shared" si="1"/>
        <v>0</v>
      </c>
      <c r="F17" s="6">
        <v>1000</v>
      </c>
      <c r="G17" s="6">
        <v>0</v>
      </c>
      <c r="H17" s="6">
        <v>1000</v>
      </c>
      <c r="I17" s="21"/>
      <c r="J17" s="21">
        <f t="shared" si="2"/>
        <v>0</v>
      </c>
      <c r="K17" s="6">
        <f t="shared" si="3"/>
        <v>0</v>
      </c>
      <c r="L17" s="6">
        <f t="shared" si="37"/>
        <v>0</v>
      </c>
      <c r="M17" s="6">
        <v>1000</v>
      </c>
      <c r="N17" s="6">
        <v>0</v>
      </c>
      <c r="O17" s="6">
        <v>1000</v>
      </c>
      <c r="P17" s="6"/>
      <c r="Q17" s="21">
        <f t="shared" si="4"/>
        <v>0</v>
      </c>
      <c r="R17" s="6">
        <f t="shared" si="5"/>
        <v>0</v>
      </c>
      <c r="S17" s="6">
        <f t="shared" si="6"/>
        <v>0</v>
      </c>
      <c r="T17" s="6">
        <v>1000</v>
      </c>
      <c r="U17" s="6">
        <v>0</v>
      </c>
      <c r="V17" s="6">
        <v>1000</v>
      </c>
      <c r="W17" s="6"/>
      <c r="X17" s="21">
        <f t="shared" si="7"/>
        <v>0</v>
      </c>
      <c r="Y17" s="6">
        <f t="shared" si="8"/>
        <v>0</v>
      </c>
      <c r="Z17" s="6">
        <f t="shared" si="9"/>
        <v>0</v>
      </c>
      <c r="AA17" s="6">
        <v>1000</v>
      </c>
      <c r="AB17" s="6">
        <v>0</v>
      </c>
      <c r="AC17" s="6">
        <v>1000</v>
      </c>
      <c r="AD17" s="6">
        <v>50000</v>
      </c>
      <c r="AE17" s="21">
        <f t="shared" si="10"/>
        <v>50000</v>
      </c>
      <c r="AF17" s="6">
        <f t="shared" si="11"/>
        <v>34750</v>
      </c>
      <c r="AG17" s="6">
        <f t="shared" si="12"/>
        <v>250</v>
      </c>
      <c r="AH17" s="6">
        <v>1000</v>
      </c>
      <c r="AI17" s="6">
        <v>0</v>
      </c>
      <c r="AJ17" s="6">
        <v>36000</v>
      </c>
      <c r="AK17" s="6"/>
      <c r="AL17" s="21">
        <f t="shared" si="13"/>
        <v>15250</v>
      </c>
      <c r="AM17" s="6">
        <f t="shared" si="14"/>
        <v>4924</v>
      </c>
      <c r="AN17" s="6">
        <f t="shared" si="15"/>
        <v>76</v>
      </c>
      <c r="AO17" s="6">
        <v>1000</v>
      </c>
      <c r="AP17" s="6">
        <v>0</v>
      </c>
      <c r="AQ17" s="6">
        <v>6000</v>
      </c>
      <c r="AR17" s="6">
        <v>0</v>
      </c>
      <c r="AS17" s="6"/>
      <c r="AU17" s="21">
        <f t="shared" si="16"/>
        <v>10326</v>
      </c>
      <c r="AV17" s="6">
        <f t="shared" si="17"/>
        <v>4948</v>
      </c>
      <c r="AW17" s="6">
        <f t="shared" si="18"/>
        <v>52</v>
      </c>
      <c r="AX17" s="6">
        <v>1000</v>
      </c>
      <c r="AY17" s="6">
        <v>0</v>
      </c>
      <c r="AZ17" s="6">
        <v>6000</v>
      </c>
      <c r="BA17" s="6"/>
      <c r="BB17" s="21">
        <f t="shared" si="19"/>
        <v>5378</v>
      </c>
      <c r="BC17" s="6">
        <f t="shared" si="20"/>
        <v>2673</v>
      </c>
      <c r="BD17" s="6">
        <f t="shared" si="21"/>
        <v>27</v>
      </c>
      <c r="BE17" s="6">
        <v>1000</v>
      </c>
      <c r="BF17" s="6">
        <v>700</v>
      </c>
      <c r="BG17" s="6">
        <v>4400</v>
      </c>
      <c r="BH17" s="6"/>
      <c r="BI17" s="21">
        <f t="shared" si="22"/>
        <v>2705</v>
      </c>
      <c r="BJ17" s="6">
        <f t="shared" si="23"/>
        <v>1286</v>
      </c>
      <c r="BK17" s="6">
        <f t="shared" si="24"/>
        <v>14</v>
      </c>
      <c r="BL17" s="6">
        <v>1000</v>
      </c>
      <c r="BM17" s="6">
        <v>700</v>
      </c>
      <c r="BN17" s="6">
        <v>3000</v>
      </c>
      <c r="BO17" s="6"/>
      <c r="BP17" s="21">
        <f t="shared" si="25"/>
        <v>1419</v>
      </c>
      <c r="BQ17" s="6">
        <f t="shared" si="26"/>
        <v>1413</v>
      </c>
      <c r="BR17" s="6">
        <f t="shared" si="27"/>
        <v>7</v>
      </c>
      <c r="BS17" s="6">
        <v>1000</v>
      </c>
      <c r="BT17" s="6">
        <v>700</v>
      </c>
      <c r="BU17" s="6">
        <v>3120</v>
      </c>
      <c r="BV17" s="6"/>
      <c r="BW17" s="21">
        <f t="shared" si="28"/>
        <v>6</v>
      </c>
      <c r="BX17" s="6">
        <f t="shared" si="29"/>
        <v>0</v>
      </c>
      <c r="BY17" s="6">
        <f t="shared" si="30"/>
        <v>0</v>
      </c>
      <c r="BZ17" s="6">
        <v>1000</v>
      </c>
      <c r="CA17" s="6">
        <v>700</v>
      </c>
      <c r="CB17" s="6">
        <v>1700</v>
      </c>
      <c r="CC17" s="6"/>
      <c r="CD17" s="21">
        <f t="shared" si="31"/>
        <v>6</v>
      </c>
      <c r="CE17" s="6">
        <f t="shared" si="32"/>
        <v>0</v>
      </c>
      <c r="CF17" s="6">
        <f t="shared" si="33"/>
        <v>0</v>
      </c>
      <c r="CG17" s="6">
        <v>1000</v>
      </c>
      <c r="CH17" s="6">
        <v>700</v>
      </c>
      <c r="CI17" s="6">
        <v>1700</v>
      </c>
      <c r="CJ17" s="6"/>
      <c r="CK17" s="5" t="s">
        <v>34</v>
      </c>
      <c r="CL17" s="14">
        <f t="shared" si="34"/>
        <v>6</v>
      </c>
      <c r="CM17" s="14">
        <v>40476</v>
      </c>
      <c r="CN17" s="14">
        <v>5000</v>
      </c>
      <c r="CO17" s="14">
        <v>5000</v>
      </c>
      <c r="CP17" s="14">
        <f>'2016 '!CS17</f>
        <v>19774</v>
      </c>
      <c r="CQ17" s="14">
        <f t="shared" si="38"/>
        <v>31774</v>
      </c>
      <c r="CR17" s="3">
        <f t="shared" si="35"/>
        <v>956</v>
      </c>
      <c r="CS17" s="41">
        <f t="shared" si="36"/>
        <v>32730</v>
      </c>
      <c r="CT17" s="14">
        <v>40482</v>
      </c>
      <c r="CU17" s="14">
        <v>970</v>
      </c>
      <c r="CV17" s="14">
        <v>0</v>
      </c>
      <c r="CW17" s="14">
        <v>0</v>
      </c>
      <c r="CX17" s="14">
        <v>13248</v>
      </c>
    </row>
    <row r="18" spans="1:102">
      <c r="A18" s="3">
        <v>16</v>
      </c>
      <c r="B18" s="5" t="s">
        <v>35</v>
      </c>
      <c r="C18" s="7">
        <f>'2016 '!CL18</f>
        <v>0</v>
      </c>
      <c r="D18" s="6">
        <f t="shared" si="0"/>
        <v>0</v>
      </c>
      <c r="E18" s="6">
        <f t="shared" si="1"/>
        <v>0</v>
      </c>
      <c r="F18" s="6">
        <v>1000</v>
      </c>
      <c r="G18" s="6">
        <v>0</v>
      </c>
      <c r="H18" s="6">
        <v>1000</v>
      </c>
      <c r="I18" s="21"/>
      <c r="J18" s="21">
        <f t="shared" si="2"/>
        <v>0</v>
      </c>
      <c r="K18" s="6">
        <f t="shared" si="3"/>
        <v>0</v>
      </c>
      <c r="L18" s="6">
        <f t="shared" si="37"/>
        <v>0</v>
      </c>
      <c r="M18" s="6">
        <v>1000</v>
      </c>
      <c r="N18" s="6">
        <v>0</v>
      </c>
      <c r="O18" s="6">
        <v>1000</v>
      </c>
      <c r="P18" s="6"/>
      <c r="Q18" s="21">
        <f t="shared" si="4"/>
        <v>0</v>
      </c>
      <c r="R18" s="6">
        <f t="shared" si="5"/>
        <v>0</v>
      </c>
      <c r="S18" s="6">
        <f t="shared" si="6"/>
        <v>0</v>
      </c>
      <c r="T18" s="6">
        <v>1000</v>
      </c>
      <c r="U18" s="6">
        <v>0</v>
      </c>
      <c r="V18" s="6">
        <v>1000</v>
      </c>
      <c r="W18" s="6"/>
      <c r="X18" s="21">
        <f t="shared" si="7"/>
        <v>0</v>
      </c>
      <c r="Y18" s="6">
        <f t="shared" si="8"/>
        <v>0</v>
      </c>
      <c r="Z18" s="6">
        <f t="shared" si="9"/>
        <v>0</v>
      </c>
      <c r="AA18" s="6">
        <v>1000</v>
      </c>
      <c r="AB18" s="6">
        <v>0</v>
      </c>
      <c r="AC18" s="6">
        <v>1000</v>
      </c>
      <c r="AD18" s="6"/>
      <c r="AE18" s="21">
        <f t="shared" si="10"/>
        <v>0</v>
      </c>
      <c r="AF18" s="6">
        <f t="shared" si="11"/>
        <v>0</v>
      </c>
      <c r="AG18" s="6">
        <f t="shared" si="12"/>
        <v>0</v>
      </c>
      <c r="AH18" s="6">
        <v>1000</v>
      </c>
      <c r="AI18" s="6">
        <v>0</v>
      </c>
      <c r="AJ18" s="6">
        <v>1000</v>
      </c>
      <c r="AK18" s="6"/>
      <c r="AL18" s="21">
        <f t="shared" si="13"/>
        <v>0</v>
      </c>
      <c r="AM18" s="6">
        <f t="shared" si="14"/>
        <v>0</v>
      </c>
      <c r="AN18" s="6">
        <f t="shared" si="15"/>
        <v>0</v>
      </c>
      <c r="AO18" s="6">
        <v>1000</v>
      </c>
      <c r="AP18" s="6">
        <v>0</v>
      </c>
      <c r="AQ18" s="6">
        <v>1000</v>
      </c>
      <c r="AR18" s="6">
        <v>0</v>
      </c>
      <c r="AS18" s="6"/>
      <c r="AU18" s="21">
        <f t="shared" si="16"/>
        <v>0</v>
      </c>
      <c r="AV18" s="6">
        <f t="shared" si="17"/>
        <v>0</v>
      </c>
      <c r="AW18" s="6">
        <f t="shared" si="18"/>
        <v>0</v>
      </c>
      <c r="AX18" s="6">
        <v>1000</v>
      </c>
      <c r="AY18" s="6">
        <v>0</v>
      </c>
      <c r="AZ18" s="6">
        <v>1000</v>
      </c>
      <c r="BA18" s="6"/>
      <c r="BB18" s="21">
        <f t="shared" si="19"/>
        <v>0</v>
      </c>
      <c r="BC18" s="6">
        <f t="shared" si="20"/>
        <v>0</v>
      </c>
      <c r="BD18" s="6">
        <f t="shared" si="21"/>
        <v>0</v>
      </c>
      <c r="BE18" s="6">
        <v>1000</v>
      </c>
      <c r="BF18" s="6">
        <v>0</v>
      </c>
      <c r="BG18" s="6">
        <v>1000</v>
      </c>
      <c r="BH18" s="6"/>
      <c r="BI18" s="21">
        <f t="shared" si="22"/>
        <v>0</v>
      </c>
      <c r="BJ18" s="6">
        <f t="shared" si="23"/>
        <v>0</v>
      </c>
      <c r="BK18" s="6">
        <f t="shared" si="24"/>
        <v>0</v>
      </c>
      <c r="BL18" s="6">
        <v>1000</v>
      </c>
      <c r="BM18" s="6">
        <v>0</v>
      </c>
      <c r="BN18" s="6">
        <v>1000</v>
      </c>
      <c r="BO18" s="6"/>
      <c r="BP18" s="21">
        <f t="shared" si="25"/>
        <v>0</v>
      </c>
      <c r="BQ18" s="6">
        <f t="shared" si="26"/>
        <v>0</v>
      </c>
      <c r="BR18" s="6">
        <f t="shared" si="27"/>
        <v>0</v>
      </c>
      <c r="BS18" s="6">
        <v>1000</v>
      </c>
      <c r="BT18" s="6">
        <v>0</v>
      </c>
      <c r="BU18" s="6">
        <v>1000</v>
      </c>
      <c r="BV18" s="6"/>
      <c r="BW18" s="21">
        <f t="shared" si="28"/>
        <v>0</v>
      </c>
      <c r="BX18" s="6">
        <f t="shared" si="29"/>
        <v>0</v>
      </c>
      <c r="BY18" s="6">
        <f t="shared" si="30"/>
        <v>0</v>
      </c>
      <c r="BZ18" s="6">
        <v>1000</v>
      </c>
      <c r="CA18" s="6">
        <v>0</v>
      </c>
      <c r="CB18" s="6">
        <v>1000</v>
      </c>
      <c r="CC18" s="6"/>
      <c r="CD18" s="21">
        <f t="shared" si="31"/>
        <v>0</v>
      </c>
      <c r="CE18" s="6">
        <f t="shared" si="32"/>
        <v>0</v>
      </c>
      <c r="CF18" s="6">
        <f t="shared" si="33"/>
        <v>0</v>
      </c>
      <c r="CG18" s="6">
        <v>1000</v>
      </c>
      <c r="CH18" s="6">
        <v>0</v>
      </c>
      <c r="CI18" s="6">
        <v>1000</v>
      </c>
      <c r="CJ18" s="6"/>
      <c r="CK18" s="5" t="s">
        <v>35</v>
      </c>
      <c r="CL18" s="14">
        <f t="shared" si="34"/>
        <v>0</v>
      </c>
      <c r="CM18" s="14">
        <v>50990</v>
      </c>
      <c r="CN18" s="14">
        <v>0</v>
      </c>
      <c r="CO18" s="14"/>
      <c r="CP18" s="14">
        <f>'2016 '!CS18</f>
        <v>12504</v>
      </c>
      <c r="CQ18" s="14">
        <f t="shared" si="38"/>
        <v>24504</v>
      </c>
      <c r="CR18" s="3">
        <f>MROUND((CQ18*$M$41)/$M$34,1)</f>
        <v>737</v>
      </c>
      <c r="CS18" s="41">
        <f t="shared" si="36"/>
        <v>25241</v>
      </c>
      <c r="CT18" s="14">
        <v>0</v>
      </c>
      <c r="CU18" s="14">
        <v>0</v>
      </c>
      <c r="CV18" s="14">
        <v>0</v>
      </c>
      <c r="CW18" s="14">
        <v>0</v>
      </c>
      <c r="CX18" s="14">
        <v>12000</v>
      </c>
    </row>
    <row r="19" spans="1:102">
      <c r="A19" s="3">
        <v>17</v>
      </c>
      <c r="B19" s="5" t="s">
        <v>36</v>
      </c>
      <c r="C19" s="7">
        <f>'2016 '!CL19</f>
        <v>0</v>
      </c>
      <c r="D19" s="6">
        <f t="shared" si="0"/>
        <v>0</v>
      </c>
      <c r="E19" s="6">
        <f t="shared" si="1"/>
        <v>0</v>
      </c>
      <c r="F19" s="6">
        <v>1000</v>
      </c>
      <c r="G19" s="6">
        <v>1000</v>
      </c>
      <c r="H19" s="6">
        <v>2000</v>
      </c>
      <c r="I19" s="21"/>
      <c r="J19" s="21">
        <f t="shared" si="2"/>
        <v>0</v>
      </c>
      <c r="K19" s="6">
        <f t="shared" si="3"/>
        <v>0</v>
      </c>
      <c r="L19" s="6">
        <f t="shared" si="37"/>
        <v>0</v>
      </c>
      <c r="M19" s="6">
        <v>1000</v>
      </c>
      <c r="N19" s="6">
        <v>1000</v>
      </c>
      <c r="O19" s="6">
        <v>2000</v>
      </c>
      <c r="P19" s="6"/>
      <c r="Q19" s="21">
        <f t="shared" si="4"/>
        <v>0</v>
      </c>
      <c r="R19" s="6">
        <f t="shared" si="5"/>
        <v>0</v>
      </c>
      <c r="S19" s="6">
        <f t="shared" si="6"/>
        <v>0</v>
      </c>
      <c r="T19" s="6">
        <v>1000</v>
      </c>
      <c r="U19" s="6">
        <v>1000</v>
      </c>
      <c r="V19" s="6">
        <v>2000</v>
      </c>
      <c r="W19" s="6"/>
      <c r="X19" s="21">
        <f t="shared" si="7"/>
        <v>0</v>
      </c>
      <c r="Y19" s="6">
        <f t="shared" si="8"/>
        <v>0</v>
      </c>
      <c r="Z19" s="6">
        <f t="shared" si="9"/>
        <v>0</v>
      </c>
      <c r="AA19" s="6">
        <v>1000</v>
      </c>
      <c r="AB19" s="6">
        <v>1000</v>
      </c>
      <c r="AC19" s="6">
        <v>2000</v>
      </c>
      <c r="AD19" s="6"/>
      <c r="AE19" s="21">
        <f t="shared" si="10"/>
        <v>0</v>
      </c>
      <c r="AF19" s="6">
        <f t="shared" si="11"/>
        <v>0</v>
      </c>
      <c r="AG19" s="6">
        <f t="shared" si="12"/>
        <v>0</v>
      </c>
      <c r="AH19" s="6">
        <v>1000</v>
      </c>
      <c r="AI19" s="6">
        <v>1000</v>
      </c>
      <c r="AJ19" s="6">
        <v>2000</v>
      </c>
      <c r="AK19" s="6"/>
      <c r="AL19" s="21">
        <f t="shared" si="13"/>
        <v>0</v>
      </c>
      <c r="AM19" s="6">
        <f t="shared" si="14"/>
        <v>0</v>
      </c>
      <c r="AN19" s="6">
        <f t="shared" si="15"/>
        <v>0</v>
      </c>
      <c r="AO19" s="6">
        <v>1000</v>
      </c>
      <c r="AP19" s="6">
        <v>0</v>
      </c>
      <c r="AQ19" s="6">
        <v>1000</v>
      </c>
      <c r="AR19" s="6">
        <v>0</v>
      </c>
      <c r="AS19" s="6"/>
      <c r="AU19" s="21">
        <f t="shared" si="16"/>
        <v>0</v>
      </c>
      <c r="AV19" s="6">
        <f t="shared" si="17"/>
        <v>0</v>
      </c>
      <c r="AW19" s="6">
        <f t="shared" si="18"/>
        <v>0</v>
      </c>
      <c r="AX19" s="6">
        <v>1000</v>
      </c>
      <c r="AY19" s="6">
        <v>0</v>
      </c>
      <c r="AZ19" s="6">
        <v>1000</v>
      </c>
      <c r="BA19" s="6"/>
      <c r="BB19" s="21">
        <f t="shared" si="19"/>
        <v>0</v>
      </c>
      <c r="BC19" s="6">
        <f t="shared" si="20"/>
        <v>0</v>
      </c>
      <c r="BD19" s="6">
        <f t="shared" si="21"/>
        <v>0</v>
      </c>
      <c r="BE19" s="6">
        <v>1000</v>
      </c>
      <c r="BF19" s="6">
        <v>700</v>
      </c>
      <c r="BG19" s="6">
        <v>1700</v>
      </c>
      <c r="BH19" s="6"/>
      <c r="BI19" s="21">
        <f t="shared" si="22"/>
        <v>0</v>
      </c>
      <c r="BJ19" s="6">
        <f t="shared" si="23"/>
        <v>0</v>
      </c>
      <c r="BK19" s="6">
        <f t="shared" si="24"/>
        <v>0</v>
      </c>
      <c r="BL19" s="6">
        <v>1000</v>
      </c>
      <c r="BM19" s="6">
        <v>700</v>
      </c>
      <c r="BN19" s="6">
        <v>1700</v>
      </c>
      <c r="BO19" s="6"/>
      <c r="BP19" s="21">
        <f t="shared" si="25"/>
        <v>0</v>
      </c>
      <c r="BQ19" s="6">
        <f t="shared" si="26"/>
        <v>0</v>
      </c>
      <c r="BR19" s="6">
        <f t="shared" si="27"/>
        <v>0</v>
      </c>
      <c r="BS19" s="6">
        <v>1000</v>
      </c>
      <c r="BT19" s="6">
        <v>700</v>
      </c>
      <c r="BU19" s="6">
        <v>1700</v>
      </c>
      <c r="BV19" s="6"/>
      <c r="BW19" s="21">
        <f t="shared" si="28"/>
        <v>0</v>
      </c>
      <c r="BX19" s="6">
        <f t="shared" si="29"/>
        <v>0</v>
      </c>
      <c r="BY19" s="6">
        <f t="shared" si="30"/>
        <v>0</v>
      </c>
      <c r="BZ19" s="6">
        <v>1000</v>
      </c>
      <c r="CA19" s="6">
        <v>700</v>
      </c>
      <c r="CB19" s="6">
        <v>1700</v>
      </c>
      <c r="CC19" s="6"/>
      <c r="CD19" s="21">
        <f t="shared" si="31"/>
        <v>0</v>
      </c>
      <c r="CE19" s="6">
        <f t="shared" si="32"/>
        <v>0</v>
      </c>
      <c r="CF19" s="6">
        <f t="shared" si="33"/>
        <v>0</v>
      </c>
      <c r="CG19" s="6">
        <v>1000</v>
      </c>
      <c r="CH19" s="6">
        <v>700</v>
      </c>
      <c r="CI19" s="6">
        <v>1700</v>
      </c>
      <c r="CJ19" s="6"/>
      <c r="CK19" s="5" t="s">
        <v>36</v>
      </c>
      <c r="CL19" s="14">
        <f t="shared" si="34"/>
        <v>0</v>
      </c>
      <c r="CM19" s="14">
        <v>109560</v>
      </c>
      <c r="CN19" s="14">
        <v>0</v>
      </c>
      <c r="CO19" s="14">
        <v>10000</v>
      </c>
      <c r="CP19" s="14">
        <f>'2016 '!CS19</f>
        <v>18587</v>
      </c>
      <c r="CQ19" s="14">
        <f t="shared" si="38"/>
        <v>30587</v>
      </c>
      <c r="CR19" s="3">
        <f t="shared" si="35"/>
        <v>920</v>
      </c>
      <c r="CS19" s="41">
        <f t="shared" si="36"/>
        <v>31507</v>
      </c>
      <c r="CT19" s="14">
        <v>4381</v>
      </c>
      <c r="CU19" s="14">
        <v>6728</v>
      </c>
      <c r="CV19" s="14">
        <v>10109</v>
      </c>
      <c r="CW19" s="14">
        <v>115340</v>
      </c>
      <c r="CX19" s="14">
        <v>12000</v>
      </c>
    </row>
    <row r="20" spans="1:102">
      <c r="A20" s="3">
        <v>18</v>
      </c>
      <c r="B20" s="5" t="s">
        <v>37</v>
      </c>
      <c r="C20" s="7">
        <f>'2016 '!CL20</f>
        <v>0</v>
      </c>
      <c r="D20" s="6">
        <f t="shared" si="0"/>
        <v>0</v>
      </c>
      <c r="E20" s="6">
        <f t="shared" si="1"/>
        <v>0</v>
      </c>
      <c r="F20" s="6">
        <v>700</v>
      </c>
      <c r="G20" s="6">
        <v>0</v>
      </c>
      <c r="H20" s="6">
        <v>700</v>
      </c>
      <c r="I20" s="21"/>
      <c r="J20" s="21">
        <f t="shared" si="2"/>
        <v>0</v>
      </c>
      <c r="K20" s="6">
        <f t="shared" si="3"/>
        <v>0</v>
      </c>
      <c r="L20" s="6">
        <f t="shared" si="37"/>
        <v>0</v>
      </c>
      <c r="M20" s="6">
        <v>700</v>
      </c>
      <c r="N20" s="6">
        <v>0</v>
      </c>
      <c r="O20" s="6">
        <v>700</v>
      </c>
      <c r="P20" s="6"/>
      <c r="Q20" s="21">
        <f t="shared" si="4"/>
        <v>0</v>
      </c>
      <c r="R20" s="6">
        <f t="shared" si="5"/>
        <v>0</v>
      </c>
      <c r="S20" s="6">
        <f t="shared" si="6"/>
        <v>0</v>
      </c>
      <c r="T20" s="6">
        <v>700</v>
      </c>
      <c r="U20" s="6">
        <v>0</v>
      </c>
      <c r="V20" s="6">
        <v>700</v>
      </c>
      <c r="W20" s="6"/>
      <c r="X20" s="21">
        <f t="shared" si="7"/>
        <v>0</v>
      </c>
      <c r="Y20" s="6">
        <f t="shared" si="8"/>
        <v>0</v>
      </c>
      <c r="Z20" s="6">
        <f t="shared" si="9"/>
        <v>0</v>
      </c>
      <c r="AA20" s="6">
        <v>700</v>
      </c>
      <c r="AB20" s="6">
        <v>0</v>
      </c>
      <c r="AC20" s="6">
        <v>700</v>
      </c>
      <c r="AD20" s="6"/>
      <c r="AE20" s="21">
        <f t="shared" si="10"/>
        <v>0</v>
      </c>
      <c r="AF20" s="6">
        <f t="shared" si="11"/>
        <v>0</v>
      </c>
      <c r="AG20" s="6">
        <f t="shared" si="12"/>
        <v>0</v>
      </c>
      <c r="AH20" s="6">
        <v>700</v>
      </c>
      <c r="AI20" s="6">
        <v>0</v>
      </c>
      <c r="AJ20" s="6">
        <v>700</v>
      </c>
      <c r="AK20" s="6"/>
      <c r="AL20" s="21">
        <f t="shared" si="13"/>
        <v>0</v>
      </c>
      <c r="AM20" s="6">
        <f t="shared" si="14"/>
        <v>0</v>
      </c>
      <c r="AN20" s="6">
        <f t="shared" si="15"/>
        <v>0</v>
      </c>
      <c r="AO20" s="6">
        <v>700</v>
      </c>
      <c r="AP20" s="6">
        <v>0</v>
      </c>
      <c r="AQ20" s="6">
        <v>700</v>
      </c>
      <c r="AR20" s="6">
        <v>0</v>
      </c>
      <c r="AS20" s="6"/>
      <c r="AU20" s="21">
        <f t="shared" si="16"/>
        <v>0</v>
      </c>
      <c r="AV20" s="6">
        <f t="shared" si="17"/>
        <v>0</v>
      </c>
      <c r="AW20" s="6">
        <f t="shared" si="18"/>
        <v>0</v>
      </c>
      <c r="AX20" s="6">
        <v>700</v>
      </c>
      <c r="AY20" s="6">
        <v>0</v>
      </c>
      <c r="AZ20" s="6">
        <v>700</v>
      </c>
      <c r="BA20" s="6"/>
      <c r="BB20" s="21">
        <f t="shared" si="19"/>
        <v>0</v>
      </c>
      <c r="BC20" s="6">
        <f t="shared" si="20"/>
        <v>0</v>
      </c>
      <c r="BD20" s="6">
        <f t="shared" si="21"/>
        <v>0</v>
      </c>
      <c r="BE20" s="6">
        <v>700</v>
      </c>
      <c r="BF20" s="6">
        <v>0</v>
      </c>
      <c r="BG20" s="6">
        <v>700</v>
      </c>
      <c r="BH20" s="6"/>
      <c r="BI20" s="21">
        <f t="shared" si="22"/>
        <v>0</v>
      </c>
      <c r="BJ20" s="6">
        <f t="shared" si="23"/>
        <v>0</v>
      </c>
      <c r="BK20" s="6">
        <f t="shared" si="24"/>
        <v>0</v>
      </c>
      <c r="BL20" s="6">
        <v>700</v>
      </c>
      <c r="BM20" s="6">
        <v>0</v>
      </c>
      <c r="BN20" s="6">
        <v>700</v>
      </c>
      <c r="BO20" s="6"/>
      <c r="BP20" s="21">
        <f t="shared" si="25"/>
        <v>0</v>
      </c>
      <c r="BQ20" s="6">
        <f t="shared" si="26"/>
        <v>0</v>
      </c>
      <c r="BR20" s="6">
        <f t="shared" si="27"/>
        <v>0</v>
      </c>
      <c r="BS20" s="6">
        <v>700</v>
      </c>
      <c r="BT20" s="6">
        <v>0</v>
      </c>
      <c r="BU20" s="6">
        <v>700</v>
      </c>
      <c r="BV20" s="6"/>
      <c r="BW20" s="21">
        <f t="shared" si="28"/>
        <v>0</v>
      </c>
      <c r="BX20" s="6">
        <f t="shared" si="29"/>
        <v>0</v>
      </c>
      <c r="BY20" s="6">
        <f t="shared" si="30"/>
        <v>0</v>
      </c>
      <c r="BZ20" s="6">
        <v>700</v>
      </c>
      <c r="CA20" s="6">
        <v>0</v>
      </c>
      <c r="CB20" s="6">
        <v>700</v>
      </c>
      <c r="CC20" s="6"/>
      <c r="CD20" s="21">
        <f t="shared" si="31"/>
        <v>0</v>
      </c>
      <c r="CE20" s="6">
        <f t="shared" si="32"/>
        <v>0</v>
      </c>
      <c r="CF20" s="6">
        <f t="shared" si="33"/>
        <v>0</v>
      </c>
      <c r="CG20" s="6">
        <v>700</v>
      </c>
      <c r="CH20" s="6">
        <v>0</v>
      </c>
      <c r="CI20" s="6">
        <v>700</v>
      </c>
      <c r="CJ20" s="6"/>
      <c r="CK20" s="5" t="s">
        <v>37</v>
      </c>
      <c r="CL20" s="14">
        <f t="shared" si="34"/>
        <v>0</v>
      </c>
      <c r="CM20" s="14">
        <v>0</v>
      </c>
      <c r="CN20" s="14">
        <v>5000</v>
      </c>
      <c r="CO20" s="14">
        <v>5000</v>
      </c>
      <c r="CP20" s="14">
        <f>'2016 '!CS20</f>
        <v>44089</v>
      </c>
      <c r="CQ20" s="14">
        <f t="shared" si="38"/>
        <v>52489</v>
      </c>
      <c r="CR20" s="3">
        <f t="shared" si="35"/>
        <v>1579</v>
      </c>
      <c r="CS20" s="41">
        <f t="shared" si="36"/>
        <v>54068</v>
      </c>
      <c r="CT20" s="14">
        <v>3627</v>
      </c>
      <c r="CU20" s="14">
        <v>373</v>
      </c>
      <c r="CV20" s="14">
        <v>25000</v>
      </c>
      <c r="CW20" s="14">
        <v>21373</v>
      </c>
      <c r="CX20" s="14">
        <v>6000</v>
      </c>
    </row>
    <row r="21" spans="1:102">
      <c r="A21" s="3">
        <v>19</v>
      </c>
      <c r="B21" s="5" t="s">
        <v>38</v>
      </c>
      <c r="C21" s="7">
        <f>'2016 '!CL21</f>
        <v>1165</v>
      </c>
      <c r="D21" s="6">
        <f t="shared" si="0"/>
        <v>1165</v>
      </c>
      <c r="E21" s="6">
        <f t="shared" si="1"/>
        <v>6</v>
      </c>
      <c r="F21" s="6">
        <v>529</v>
      </c>
      <c r="G21" s="6">
        <v>0</v>
      </c>
      <c r="H21" s="6">
        <v>1700</v>
      </c>
      <c r="I21" s="21"/>
      <c r="J21" s="21">
        <f t="shared" si="2"/>
        <v>0</v>
      </c>
      <c r="K21" s="6">
        <f t="shared" si="3"/>
        <v>0</v>
      </c>
      <c r="L21" s="6">
        <f t="shared" si="37"/>
        <v>0</v>
      </c>
      <c r="M21" s="6">
        <v>500</v>
      </c>
      <c r="N21" s="6">
        <v>0</v>
      </c>
      <c r="O21" s="6">
        <v>500</v>
      </c>
      <c r="P21" s="6"/>
      <c r="Q21" s="21">
        <f t="shared" si="4"/>
        <v>0</v>
      </c>
      <c r="R21" s="6">
        <f t="shared" si="5"/>
        <v>0</v>
      </c>
      <c r="S21" s="6">
        <f t="shared" si="6"/>
        <v>0</v>
      </c>
      <c r="T21" s="6">
        <v>500</v>
      </c>
      <c r="U21" s="6">
        <v>0</v>
      </c>
      <c r="V21" s="6">
        <v>500</v>
      </c>
      <c r="W21" s="6">
        <v>500</v>
      </c>
      <c r="X21" s="21">
        <f t="shared" si="7"/>
        <v>500</v>
      </c>
      <c r="Y21" s="6">
        <f t="shared" si="8"/>
        <v>500</v>
      </c>
      <c r="Z21" s="6">
        <f t="shared" si="9"/>
        <v>3</v>
      </c>
      <c r="AA21" s="6">
        <v>500</v>
      </c>
      <c r="AB21" s="6">
        <v>0</v>
      </c>
      <c r="AC21" s="6">
        <v>1003</v>
      </c>
      <c r="AD21" s="6"/>
      <c r="AE21" s="21">
        <f t="shared" si="10"/>
        <v>0</v>
      </c>
      <c r="AF21" s="6">
        <f t="shared" si="11"/>
        <v>0</v>
      </c>
      <c r="AG21" s="6">
        <f t="shared" si="12"/>
        <v>0</v>
      </c>
      <c r="AH21" s="6">
        <v>500</v>
      </c>
      <c r="AI21" s="6">
        <v>0</v>
      </c>
      <c r="AJ21" s="6">
        <v>500</v>
      </c>
      <c r="AK21" s="6"/>
      <c r="AL21" s="21">
        <f t="shared" si="13"/>
        <v>0</v>
      </c>
      <c r="AM21" s="6">
        <f t="shared" si="14"/>
        <v>0</v>
      </c>
      <c r="AN21" s="6">
        <f t="shared" si="15"/>
        <v>0</v>
      </c>
      <c r="AO21" s="6">
        <v>500</v>
      </c>
      <c r="AP21" s="6">
        <v>0</v>
      </c>
      <c r="AQ21" s="6">
        <v>500</v>
      </c>
      <c r="AR21" s="6">
        <v>0</v>
      </c>
      <c r="AS21" s="6"/>
      <c r="AU21" s="21">
        <f t="shared" si="16"/>
        <v>0</v>
      </c>
      <c r="AV21" s="6">
        <f t="shared" si="17"/>
        <v>0</v>
      </c>
      <c r="AW21" s="6">
        <f t="shared" si="18"/>
        <v>0</v>
      </c>
      <c r="AX21" s="6">
        <v>500</v>
      </c>
      <c r="AY21" s="6">
        <v>0</v>
      </c>
      <c r="AZ21" s="6">
        <v>500</v>
      </c>
      <c r="BA21" s="6"/>
      <c r="BB21" s="21">
        <f t="shared" si="19"/>
        <v>0</v>
      </c>
      <c r="BC21" s="6">
        <f t="shared" si="20"/>
        <v>0</v>
      </c>
      <c r="BD21" s="6">
        <f t="shared" si="21"/>
        <v>0</v>
      </c>
      <c r="BE21" s="6">
        <v>500</v>
      </c>
      <c r="BF21" s="6">
        <v>700</v>
      </c>
      <c r="BG21" s="6">
        <v>1200</v>
      </c>
      <c r="BH21" s="6"/>
      <c r="BI21" s="21">
        <f t="shared" si="22"/>
        <v>0</v>
      </c>
      <c r="BJ21" s="6">
        <f t="shared" si="23"/>
        <v>0</v>
      </c>
      <c r="BK21" s="6">
        <f t="shared" si="24"/>
        <v>0</v>
      </c>
      <c r="BL21" s="6">
        <v>500</v>
      </c>
      <c r="BM21" s="6">
        <v>700</v>
      </c>
      <c r="BN21" s="6">
        <v>1200</v>
      </c>
      <c r="BO21" s="6"/>
      <c r="BP21" s="21">
        <f t="shared" si="25"/>
        <v>0</v>
      </c>
      <c r="BQ21" s="6">
        <f t="shared" si="26"/>
        <v>0</v>
      </c>
      <c r="BR21" s="6">
        <f t="shared" si="27"/>
        <v>0</v>
      </c>
      <c r="BS21" s="6">
        <v>500</v>
      </c>
      <c r="BT21" s="6">
        <v>700</v>
      </c>
      <c r="BU21" s="6">
        <v>1200</v>
      </c>
      <c r="BV21" s="6"/>
      <c r="BW21" s="21">
        <f t="shared" si="28"/>
        <v>0</v>
      </c>
      <c r="BX21" s="6">
        <f t="shared" si="29"/>
        <v>0</v>
      </c>
      <c r="BY21" s="6">
        <f t="shared" si="30"/>
        <v>0</v>
      </c>
      <c r="BZ21" s="6">
        <v>500</v>
      </c>
      <c r="CA21" s="6">
        <v>700</v>
      </c>
      <c r="CB21" s="6">
        <v>1200</v>
      </c>
      <c r="CC21" s="6"/>
      <c r="CD21" s="21">
        <f t="shared" si="31"/>
        <v>0</v>
      </c>
      <c r="CE21" s="6">
        <f t="shared" si="32"/>
        <v>0</v>
      </c>
      <c r="CF21" s="6">
        <f t="shared" si="33"/>
        <v>0</v>
      </c>
      <c r="CG21" s="6">
        <v>500</v>
      </c>
      <c r="CH21" s="6">
        <v>700</v>
      </c>
      <c r="CI21" s="6">
        <v>1200</v>
      </c>
      <c r="CJ21" s="6"/>
      <c r="CK21" s="5" t="s">
        <v>38</v>
      </c>
      <c r="CL21" s="14">
        <f t="shared" si="34"/>
        <v>0</v>
      </c>
      <c r="CM21" s="14">
        <v>63465</v>
      </c>
      <c r="CN21" s="14">
        <v>5000</v>
      </c>
      <c r="CO21" s="14">
        <v>5000</v>
      </c>
      <c r="CP21" s="14">
        <f>'2016 '!CS21</f>
        <v>27020</v>
      </c>
      <c r="CQ21" s="14">
        <f t="shared" si="38"/>
        <v>33049</v>
      </c>
      <c r="CR21" s="3">
        <f t="shared" si="35"/>
        <v>994</v>
      </c>
      <c r="CS21" s="41">
        <f t="shared" si="36"/>
        <v>34043</v>
      </c>
      <c r="CT21" s="14">
        <v>27740</v>
      </c>
      <c r="CU21" s="14">
        <v>4643</v>
      </c>
      <c r="CV21" s="14">
        <v>66783</v>
      </c>
      <c r="CW21" s="14">
        <v>102598</v>
      </c>
      <c r="CX21" s="14">
        <v>6000</v>
      </c>
    </row>
    <row r="22" spans="1:102">
      <c r="A22" s="3">
        <v>20</v>
      </c>
      <c r="B22" s="5" t="s">
        <v>71</v>
      </c>
      <c r="C22" s="7">
        <f>'2016 '!CL23</f>
        <v>0</v>
      </c>
      <c r="D22" s="6">
        <f t="shared" si="0"/>
        <v>0</v>
      </c>
      <c r="E22" s="6">
        <f t="shared" si="1"/>
        <v>0</v>
      </c>
      <c r="F22" s="6">
        <v>500</v>
      </c>
      <c r="G22" s="6">
        <v>0</v>
      </c>
      <c r="H22" s="6">
        <v>500</v>
      </c>
      <c r="I22" s="21"/>
      <c r="J22" s="21">
        <f t="shared" si="2"/>
        <v>0</v>
      </c>
      <c r="K22" s="6">
        <f t="shared" si="3"/>
        <v>0</v>
      </c>
      <c r="L22" s="6">
        <f t="shared" si="37"/>
        <v>0</v>
      </c>
      <c r="M22" s="6">
        <v>500</v>
      </c>
      <c r="N22" s="6">
        <v>0</v>
      </c>
      <c r="O22" s="6">
        <v>500</v>
      </c>
      <c r="P22" s="6">
        <v>10000</v>
      </c>
      <c r="Q22" s="21">
        <f t="shared" si="4"/>
        <v>10000</v>
      </c>
      <c r="R22" s="6">
        <f t="shared" si="5"/>
        <v>2000</v>
      </c>
      <c r="S22" s="6">
        <f t="shared" si="6"/>
        <v>50</v>
      </c>
      <c r="T22" s="6">
        <v>500</v>
      </c>
      <c r="U22" s="6">
        <v>0</v>
      </c>
      <c r="V22" s="6">
        <v>2550</v>
      </c>
      <c r="W22" s="6">
        <v>30000</v>
      </c>
      <c r="X22" s="21">
        <f t="shared" si="7"/>
        <v>38000</v>
      </c>
      <c r="Y22" s="6">
        <f t="shared" si="8"/>
        <v>1310</v>
      </c>
      <c r="Z22" s="6">
        <f t="shared" si="9"/>
        <v>190</v>
      </c>
      <c r="AA22" s="6">
        <v>500</v>
      </c>
      <c r="AB22" s="6">
        <v>0</v>
      </c>
      <c r="AC22" s="6">
        <v>2000</v>
      </c>
      <c r="AD22" s="6"/>
      <c r="AE22" s="21">
        <f t="shared" si="10"/>
        <v>36690</v>
      </c>
      <c r="AF22" s="6">
        <f t="shared" si="11"/>
        <v>3317</v>
      </c>
      <c r="AG22" s="6">
        <f t="shared" si="12"/>
        <v>183</v>
      </c>
      <c r="AH22" s="6">
        <v>500</v>
      </c>
      <c r="AI22" s="6">
        <v>0</v>
      </c>
      <c r="AJ22" s="6">
        <v>4000</v>
      </c>
      <c r="AK22" s="6"/>
      <c r="AL22" s="21">
        <f t="shared" si="13"/>
        <v>33373</v>
      </c>
      <c r="AM22" s="6">
        <f t="shared" si="14"/>
        <v>9333</v>
      </c>
      <c r="AN22" s="6">
        <f t="shared" si="15"/>
        <v>167</v>
      </c>
      <c r="AO22" s="6">
        <v>500</v>
      </c>
      <c r="AP22" s="6">
        <v>0</v>
      </c>
      <c r="AQ22" s="6">
        <v>10000</v>
      </c>
      <c r="AR22" s="6">
        <v>7000</v>
      </c>
      <c r="AS22" s="6"/>
      <c r="AU22" s="21">
        <f t="shared" si="16"/>
        <v>24040</v>
      </c>
      <c r="AV22" s="6">
        <f t="shared" si="17"/>
        <v>3380</v>
      </c>
      <c r="AW22" s="6">
        <f>MROUND(((AU22*0.5)/100),1)</f>
        <v>120</v>
      </c>
      <c r="AX22" s="6">
        <v>500</v>
      </c>
      <c r="AY22" s="6">
        <v>0</v>
      </c>
      <c r="AZ22" s="21">
        <v>4000</v>
      </c>
      <c r="BA22" s="6"/>
      <c r="BB22" s="21">
        <f t="shared" si="19"/>
        <v>20660</v>
      </c>
      <c r="BC22" s="6">
        <f t="shared" si="20"/>
        <v>2097</v>
      </c>
      <c r="BD22" s="6">
        <f t="shared" si="21"/>
        <v>103</v>
      </c>
      <c r="BE22" s="6">
        <v>500</v>
      </c>
      <c r="BF22" s="6">
        <v>700</v>
      </c>
      <c r="BG22" s="6">
        <v>3400</v>
      </c>
      <c r="BH22" s="6"/>
      <c r="BI22" s="21">
        <f t="shared" si="22"/>
        <v>18563</v>
      </c>
      <c r="BJ22" s="6">
        <f t="shared" si="23"/>
        <v>2107</v>
      </c>
      <c r="BK22" s="6">
        <f t="shared" si="24"/>
        <v>93</v>
      </c>
      <c r="BL22" s="6">
        <v>500</v>
      </c>
      <c r="BM22" s="6">
        <v>700</v>
      </c>
      <c r="BN22" s="6">
        <v>3400</v>
      </c>
      <c r="BO22" s="6"/>
      <c r="BP22" s="21">
        <f t="shared" si="25"/>
        <v>16456</v>
      </c>
      <c r="BQ22" s="6">
        <f t="shared" si="26"/>
        <v>2718</v>
      </c>
      <c r="BR22" s="6">
        <f t="shared" si="27"/>
        <v>82</v>
      </c>
      <c r="BS22" s="6">
        <v>500</v>
      </c>
      <c r="BT22" s="6">
        <v>700</v>
      </c>
      <c r="BU22" s="6">
        <v>4000</v>
      </c>
      <c r="BV22" s="6">
        <v>30000</v>
      </c>
      <c r="BW22" s="21">
        <f t="shared" si="28"/>
        <v>43738</v>
      </c>
      <c r="BX22" s="6">
        <f t="shared" si="29"/>
        <v>3581</v>
      </c>
      <c r="BY22" s="6">
        <f t="shared" si="30"/>
        <v>219</v>
      </c>
      <c r="BZ22" s="6">
        <v>500</v>
      </c>
      <c r="CA22" s="6">
        <v>700</v>
      </c>
      <c r="CB22" s="6">
        <v>5000</v>
      </c>
      <c r="CC22" s="6"/>
      <c r="CD22" s="21">
        <f t="shared" si="31"/>
        <v>40157</v>
      </c>
      <c r="CE22" s="6">
        <f t="shared" si="32"/>
        <v>2599</v>
      </c>
      <c r="CF22" s="6">
        <f t="shared" si="33"/>
        <v>201</v>
      </c>
      <c r="CG22" s="6">
        <v>500</v>
      </c>
      <c r="CH22" s="6">
        <v>700</v>
      </c>
      <c r="CI22" s="6">
        <v>4000</v>
      </c>
      <c r="CJ22" s="6">
        <v>30000</v>
      </c>
      <c r="CK22" s="5" t="s">
        <v>39</v>
      </c>
      <c r="CL22" s="14">
        <f t="shared" si="34"/>
        <v>67558</v>
      </c>
      <c r="CM22" s="14"/>
      <c r="CN22" s="14"/>
      <c r="CO22" s="14"/>
      <c r="CP22" s="14">
        <f>'2016 '!CS22</f>
        <v>45518</v>
      </c>
      <c r="CQ22" s="14">
        <f>F22+M22+T22+AA22+AH22+AO22+AX22+BE22+BL22+BS22+BZ22+CG22</f>
        <v>6000</v>
      </c>
      <c r="CR22" s="3">
        <f t="shared" si="35"/>
        <v>180</v>
      </c>
      <c r="CS22" s="41">
        <f>CQ22+CR22</f>
        <v>6180</v>
      </c>
      <c r="CT22" s="14"/>
      <c r="CU22" s="14"/>
      <c r="CV22" s="14"/>
      <c r="CW22" s="14"/>
      <c r="CX22" s="14"/>
    </row>
    <row r="23" spans="1:102">
      <c r="A23" s="3">
        <v>21</v>
      </c>
      <c r="B23" s="5" t="s">
        <v>40</v>
      </c>
      <c r="C23" s="7">
        <f>'2016 '!CL24</f>
        <v>0</v>
      </c>
      <c r="D23" s="6">
        <f t="shared" si="0"/>
        <v>0</v>
      </c>
      <c r="E23" s="6">
        <v>0</v>
      </c>
      <c r="F23" s="6">
        <v>500</v>
      </c>
      <c r="G23" s="6">
        <v>0</v>
      </c>
      <c r="H23" s="6">
        <v>500</v>
      </c>
      <c r="I23" s="21">
        <v>500</v>
      </c>
      <c r="J23" s="21">
        <f t="shared" si="2"/>
        <v>500</v>
      </c>
      <c r="K23" s="6">
        <f t="shared" si="3"/>
        <v>-3</v>
      </c>
      <c r="L23" s="6">
        <f t="shared" si="37"/>
        <v>3</v>
      </c>
      <c r="M23" s="6">
        <v>500</v>
      </c>
      <c r="N23" s="6">
        <v>0</v>
      </c>
      <c r="O23" s="6">
        <v>500</v>
      </c>
      <c r="P23" s="6"/>
      <c r="Q23" s="21">
        <f t="shared" si="4"/>
        <v>503</v>
      </c>
      <c r="R23" s="6">
        <f t="shared" si="5"/>
        <v>-3</v>
      </c>
      <c r="S23" s="6">
        <f t="shared" si="6"/>
        <v>3</v>
      </c>
      <c r="T23" s="6">
        <v>500</v>
      </c>
      <c r="U23" s="6">
        <v>0</v>
      </c>
      <c r="V23" s="6">
        <v>500</v>
      </c>
      <c r="W23" s="6"/>
      <c r="X23" s="21">
        <f t="shared" si="7"/>
        <v>506</v>
      </c>
      <c r="Y23" s="6">
        <f t="shared" si="8"/>
        <v>-3</v>
      </c>
      <c r="Z23" s="6">
        <f t="shared" si="9"/>
        <v>3</v>
      </c>
      <c r="AA23" s="6">
        <v>500</v>
      </c>
      <c r="AB23" s="6">
        <v>0</v>
      </c>
      <c r="AC23" s="6">
        <v>500</v>
      </c>
      <c r="AD23" s="6"/>
      <c r="AE23" s="21">
        <f t="shared" si="10"/>
        <v>509</v>
      </c>
      <c r="AF23" s="6">
        <f t="shared" si="11"/>
        <v>0</v>
      </c>
      <c r="AG23" s="6">
        <f t="shared" si="12"/>
        <v>3</v>
      </c>
      <c r="AH23" s="6">
        <v>500</v>
      </c>
      <c r="AI23" s="6">
        <v>0</v>
      </c>
      <c r="AJ23" s="6">
        <v>503</v>
      </c>
      <c r="AK23" s="6">
        <v>503</v>
      </c>
      <c r="AL23" s="21">
        <f t="shared" si="13"/>
        <v>1012</v>
      </c>
      <c r="AM23" s="6">
        <f t="shared" si="14"/>
        <v>-5</v>
      </c>
      <c r="AN23" s="6">
        <f t="shared" si="15"/>
        <v>5</v>
      </c>
      <c r="AO23" s="6">
        <v>500</v>
      </c>
      <c r="AP23" s="6">
        <v>0</v>
      </c>
      <c r="AQ23" s="6">
        <v>500</v>
      </c>
      <c r="AR23" s="6">
        <v>0</v>
      </c>
      <c r="AS23" s="6"/>
      <c r="AU23" s="21">
        <f t="shared" si="16"/>
        <v>1017</v>
      </c>
      <c r="AV23" s="6">
        <f t="shared" si="17"/>
        <v>-5</v>
      </c>
      <c r="AW23" s="6">
        <f t="shared" si="18"/>
        <v>5</v>
      </c>
      <c r="AX23" s="6">
        <v>500</v>
      </c>
      <c r="AY23" s="6">
        <v>0</v>
      </c>
      <c r="AZ23" s="6">
        <v>500</v>
      </c>
      <c r="BA23" s="6"/>
      <c r="BB23" s="21">
        <f t="shared" si="19"/>
        <v>1022</v>
      </c>
      <c r="BC23" s="6">
        <f t="shared" si="20"/>
        <v>-5</v>
      </c>
      <c r="BD23" s="6">
        <f t="shared" si="21"/>
        <v>5</v>
      </c>
      <c r="BE23" s="6">
        <v>500</v>
      </c>
      <c r="BF23" s="6">
        <v>0</v>
      </c>
      <c r="BG23" s="6">
        <v>500</v>
      </c>
      <c r="BH23" s="6"/>
      <c r="BI23" s="21">
        <f t="shared" si="22"/>
        <v>1027</v>
      </c>
      <c r="BJ23" s="6">
        <f t="shared" si="23"/>
        <v>-5</v>
      </c>
      <c r="BK23" s="6">
        <f t="shared" si="24"/>
        <v>5</v>
      </c>
      <c r="BL23" s="6">
        <v>500</v>
      </c>
      <c r="BM23" s="6">
        <v>0</v>
      </c>
      <c r="BN23" s="6">
        <v>500</v>
      </c>
      <c r="BO23" s="6">
        <v>40000</v>
      </c>
      <c r="BP23" s="21">
        <f t="shared" si="25"/>
        <v>41032</v>
      </c>
      <c r="BQ23" s="6">
        <f t="shared" si="26"/>
        <v>9995</v>
      </c>
      <c r="BR23" s="6">
        <f t="shared" si="27"/>
        <v>205</v>
      </c>
      <c r="BS23" s="6">
        <v>500</v>
      </c>
      <c r="BT23" s="6">
        <v>0</v>
      </c>
      <c r="BU23" s="6">
        <v>10700</v>
      </c>
      <c r="BV23" s="6">
        <v>0</v>
      </c>
      <c r="BW23" s="21">
        <f t="shared" si="28"/>
        <v>31037</v>
      </c>
      <c r="BX23" s="6">
        <f t="shared" si="29"/>
        <v>29995</v>
      </c>
      <c r="BY23" s="6">
        <f t="shared" si="30"/>
        <v>155</v>
      </c>
      <c r="BZ23" s="6">
        <v>500</v>
      </c>
      <c r="CA23" s="6">
        <v>0</v>
      </c>
      <c r="CB23" s="6">
        <v>30650</v>
      </c>
      <c r="CC23" s="6"/>
      <c r="CD23" s="21">
        <f t="shared" si="31"/>
        <v>1042</v>
      </c>
      <c r="CE23" s="6">
        <f t="shared" si="32"/>
        <v>-5</v>
      </c>
      <c r="CF23" s="6">
        <f t="shared" si="33"/>
        <v>5</v>
      </c>
      <c r="CG23" s="6">
        <v>500</v>
      </c>
      <c r="CH23" s="6">
        <v>0</v>
      </c>
      <c r="CI23" s="6">
        <v>500</v>
      </c>
      <c r="CJ23" s="6"/>
      <c r="CK23" s="5" t="s">
        <v>40</v>
      </c>
      <c r="CL23" s="14">
        <f t="shared" si="34"/>
        <v>1047</v>
      </c>
      <c r="CM23" s="14">
        <v>55373</v>
      </c>
      <c r="CN23" s="14">
        <v>0</v>
      </c>
      <c r="CO23" s="14"/>
      <c r="CP23" s="14">
        <f>'2016 '!CS23</f>
        <v>0</v>
      </c>
      <c r="CQ23" s="14">
        <f>F23+M23+T23+AA23+AH23+AO23+AX23+BE23+BL23+BS23+BZ23+CG23</f>
        <v>6000</v>
      </c>
      <c r="CR23" s="3">
        <f t="shared" si="35"/>
        <v>180</v>
      </c>
      <c r="CS23" s="41">
        <f t="shared" si="36"/>
        <v>6180</v>
      </c>
      <c r="CT23" s="14">
        <v>4307</v>
      </c>
      <c r="CU23" s="14">
        <v>3768</v>
      </c>
      <c r="CV23" s="14">
        <v>4875</v>
      </c>
      <c r="CW23" s="14">
        <v>64704</v>
      </c>
      <c r="CX23" s="14">
        <v>6000</v>
      </c>
    </row>
    <row r="24" spans="1:102">
      <c r="A24" s="3">
        <v>22</v>
      </c>
      <c r="B24" s="2" t="s">
        <v>41</v>
      </c>
      <c r="C24" s="7">
        <f>'2016 '!CL25</f>
        <v>0</v>
      </c>
      <c r="D24" s="6">
        <f t="shared" si="0"/>
        <v>0</v>
      </c>
      <c r="E24" s="6">
        <f>MROUND(((C24*1)/100),1)</f>
        <v>0</v>
      </c>
      <c r="F24" s="6"/>
      <c r="G24" s="6">
        <v>0</v>
      </c>
      <c r="H24" s="6">
        <v>0</v>
      </c>
      <c r="I24" s="21">
        <v>0</v>
      </c>
      <c r="J24" s="21">
        <f>C24-D24+I24</f>
        <v>0</v>
      </c>
      <c r="K24" s="6">
        <f t="shared" si="3"/>
        <v>0</v>
      </c>
      <c r="L24" s="6">
        <f>MROUND(((J24*1)/100),1)</f>
        <v>0</v>
      </c>
      <c r="M24" s="6"/>
      <c r="N24" s="6">
        <v>0</v>
      </c>
      <c r="O24" s="6">
        <v>0</v>
      </c>
      <c r="Q24" s="21">
        <f t="shared" si="4"/>
        <v>0</v>
      </c>
      <c r="R24" s="6">
        <f t="shared" si="5"/>
        <v>0</v>
      </c>
      <c r="S24" s="6">
        <f t="shared" si="6"/>
        <v>0</v>
      </c>
      <c r="T24" s="6"/>
      <c r="U24" s="6">
        <v>0</v>
      </c>
      <c r="V24" s="6">
        <v>0</v>
      </c>
      <c r="W24" s="6"/>
      <c r="X24" s="21">
        <f t="shared" si="7"/>
        <v>0</v>
      </c>
      <c r="Y24" s="6">
        <f t="shared" si="8"/>
        <v>0</v>
      </c>
      <c r="Z24" s="6">
        <f t="shared" si="9"/>
        <v>0</v>
      </c>
      <c r="AA24" s="6"/>
      <c r="AB24" s="6">
        <v>0</v>
      </c>
      <c r="AC24" s="6"/>
      <c r="AD24" s="6">
        <v>0</v>
      </c>
      <c r="AE24" s="21">
        <f t="shared" si="10"/>
        <v>0</v>
      </c>
      <c r="AF24" s="6">
        <f t="shared" si="11"/>
        <v>0</v>
      </c>
      <c r="AG24" s="6">
        <f t="shared" si="12"/>
        <v>0</v>
      </c>
      <c r="AH24" s="6"/>
      <c r="AI24" s="6">
        <v>0</v>
      </c>
      <c r="AJ24" s="6"/>
      <c r="AK24" s="6"/>
      <c r="AL24" s="21">
        <f t="shared" si="13"/>
        <v>0</v>
      </c>
      <c r="AM24" s="6">
        <f t="shared" si="14"/>
        <v>0</v>
      </c>
      <c r="AN24" s="6">
        <f t="shared" si="15"/>
        <v>0</v>
      </c>
      <c r="AO24" s="6"/>
      <c r="AP24" s="6"/>
      <c r="AQ24" s="6"/>
      <c r="AR24" s="6"/>
      <c r="AS24" s="6">
        <v>3000</v>
      </c>
      <c r="AU24" s="21">
        <f t="shared" si="16"/>
        <v>3000</v>
      </c>
      <c r="AV24" s="6">
        <f t="shared" si="17"/>
        <v>0</v>
      </c>
      <c r="AW24" s="6">
        <f>MROUND(((AU24*1)/100),1)</f>
        <v>30</v>
      </c>
      <c r="AX24" s="6">
        <v>0</v>
      </c>
      <c r="AY24" s="6">
        <v>0</v>
      </c>
      <c r="AZ24" s="6">
        <v>30</v>
      </c>
      <c r="BA24" s="5">
        <v>30</v>
      </c>
      <c r="BB24" s="21">
        <f t="shared" si="19"/>
        <v>3030</v>
      </c>
      <c r="BC24" s="6">
        <f t="shared" si="20"/>
        <v>1970</v>
      </c>
      <c r="BD24" s="6">
        <f>MROUND(((BB24*1)/100),1)</f>
        <v>30</v>
      </c>
      <c r="BE24" s="6">
        <v>0</v>
      </c>
      <c r="BF24" s="6">
        <v>0</v>
      </c>
      <c r="BG24" s="6">
        <v>2000</v>
      </c>
      <c r="BH24" s="6">
        <v>0</v>
      </c>
      <c r="BI24" s="21">
        <f t="shared" si="22"/>
        <v>1060</v>
      </c>
      <c r="BJ24" s="6">
        <f t="shared" si="23"/>
        <v>0</v>
      </c>
      <c r="BK24" s="6">
        <f>MROUND(((BI24*1)/100),1)</f>
        <v>11</v>
      </c>
      <c r="BL24" s="6">
        <v>0</v>
      </c>
      <c r="BM24" s="6">
        <v>0</v>
      </c>
      <c r="BN24" s="6">
        <v>11</v>
      </c>
      <c r="BO24" s="5">
        <v>11</v>
      </c>
      <c r="BP24" s="21">
        <f t="shared" si="25"/>
        <v>1071</v>
      </c>
      <c r="BQ24" s="6">
        <f t="shared" si="26"/>
        <v>0</v>
      </c>
      <c r="BR24" s="6">
        <f>MROUND(((BP24*1)/100),1)</f>
        <v>11</v>
      </c>
      <c r="BS24" s="6">
        <v>0</v>
      </c>
      <c r="BT24" s="6">
        <v>0</v>
      </c>
      <c r="BU24" s="6">
        <v>11</v>
      </c>
      <c r="BV24" s="5">
        <v>11</v>
      </c>
      <c r="BW24" s="21">
        <f t="shared" si="28"/>
        <v>1082</v>
      </c>
      <c r="BX24" s="6">
        <f t="shared" si="29"/>
        <v>0</v>
      </c>
      <c r="BY24" s="6">
        <f>MROUND(((BW24*1)/100),1)</f>
        <v>11</v>
      </c>
      <c r="BZ24" s="6">
        <v>0</v>
      </c>
      <c r="CA24" s="6">
        <v>0</v>
      </c>
      <c r="CB24" s="6">
        <v>11</v>
      </c>
      <c r="CC24" s="5">
        <v>11</v>
      </c>
      <c r="CD24" s="21">
        <f t="shared" si="31"/>
        <v>1093</v>
      </c>
      <c r="CE24" s="6">
        <f t="shared" si="32"/>
        <v>6</v>
      </c>
      <c r="CF24" s="6">
        <f t="shared" si="33"/>
        <v>5</v>
      </c>
      <c r="CG24" s="6">
        <v>0</v>
      </c>
      <c r="CH24" s="6">
        <v>0</v>
      </c>
      <c r="CI24" s="6">
        <v>11</v>
      </c>
      <c r="CJ24" s="5">
        <v>11</v>
      </c>
      <c r="CK24" s="2" t="s">
        <v>41</v>
      </c>
      <c r="CL24" s="14">
        <f t="shared" si="34"/>
        <v>1098</v>
      </c>
      <c r="CM24" s="14">
        <v>0</v>
      </c>
      <c r="CN24" s="14">
        <v>0</v>
      </c>
      <c r="CO24" s="14"/>
      <c r="CP24" s="14">
        <f>'2016 '!CS24</f>
        <v>0</v>
      </c>
      <c r="CQ24" s="14">
        <f t="shared" si="38"/>
        <v>0</v>
      </c>
      <c r="CR24" s="3">
        <f t="shared" si="35"/>
        <v>0</v>
      </c>
      <c r="CS24" s="41">
        <f t="shared" si="36"/>
        <v>0</v>
      </c>
      <c r="CT24" s="14">
        <v>0</v>
      </c>
      <c r="CU24" s="14">
        <v>0</v>
      </c>
      <c r="CV24" s="14">
        <v>0</v>
      </c>
      <c r="CW24" s="14">
        <v>0</v>
      </c>
      <c r="CX24" s="14">
        <v>6000</v>
      </c>
    </row>
    <row r="25" spans="1:102">
      <c r="B25" s="5" t="s">
        <v>39</v>
      </c>
      <c r="C25" s="7">
        <v>3554</v>
      </c>
      <c r="D25" s="6">
        <f t="shared" si="0"/>
        <v>3554</v>
      </c>
      <c r="E25" s="6">
        <v>0</v>
      </c>
      <c r="F25" s="6"/>
      <c r="G25" s="6"/>
      <c r="H25" s="6">
        <v>3554</v>
      </c>
      <c r="I25" s="21"/>
      <c r="J25" s="21">
        <f>C25-D25+I25</f>
        <v>0</v>
      </c>
      <c r="K25" s="6">
        <f t="shared" si="3"/>
        <v>0</v>
      </c>
      <c r="L25" s="6">
        <f>MROUND(((J25*1)/100),1)</f>
        <v>0</v>
      </c>
      <c r="M25" s="6"/>
      <c r="N25" s="6"/>
      <c r="O25" s="6">
        <v>0</v>
      </c>
      <c r="P25" s="6"/>
      <c r="Q25" s="21">
        <f t="shared" si="4"/>
        <v>0</v>
      </c>
      <c r="R25" s="6">
        <f t="shared" si="5"/>
        <v>0</v>
      </c>
      <c r="S25" s="6">
        <f>MROUND(((Q25*1)/100),1)</f>
        <v>0</v>
      </c>
      <c r="T25" s="6"/>
      <c r="U25" s="6"/>
      <c r="V25" s="6">
        <v>0</v>
      </c>
      <c r="W25" s="6"/>
      <c r="X25" s="21">
        <f t="shared" si="7"/>
        <v>0</v>
      </c>
      <c r="Y25" s="6">
        <f t="shared" si="8"/>
        <v>0</v>
      </c>
      <c r="Z25" s="6">
        <f>MROUND(((X25*1)/100),1)</f>
        <v>0</v>
      </c>
      <c r="AA25" s="6"/>
      <c r="AB25" s="6">
        <v>0</v>
      </c>
      <c r="AC25" s="6"/>
      <c r="AD25" s="6"/>
      <c r="AE25" s="21">
        <f t="shared" si="10"/>
        <v>0</v>
      </c>
      <c r="AF25" s="6">
        <f t="shared" si="11"/>
        <v>0</v>
      </c>
      <c r="AG25" s="6">
        <f>MROUND(((AE25*1)/100),1)</f>
        <v>0</v>
      </c>
      <c r="AH25" s="5"/>
      <c r="AI25" s="6">
        <v>0</v>
      </c>
      <c r="AJ25" s="5"/>
      <c r="AK25" s="5">
        <v>0</v>
      </c>
      <c r="AL25" s="21">
        <f t="shared" si="13"/>
        <v>0</v>
      </c>
      <c r="AM25" s="6">
        <f t="shared" si="14"/>
        <v>0</v>
      </c>
      <c r="AN25" s="6">
        <f>MROUND(((AL25*1)/100),1)</f>
        <v>0</v>
      </c>
      <c r="AO25" s="6"/>
      <c r="AP25" s="6"/>
      <c r="AQ25" s="5">
        <v>0</v>
      </c>
      <c r="AR25" s="5"/>
      <c r="AS25" s="5">
        <v>0</v>
      </c>
      <c r="AU25" s="21">
        <f t="shared" si="16"/>
        <v>0</v>
      </c>
      <c r="AV25" s="6">
        <f t="shared" si="17"/>
        <v>0</v>
      </c>
      <c r="AW25" s="6">
        <f>MROUND(((AU25*1)/100),1)</f>
        <v>0</v>
      </c>
      <c r="AX25" s="6"/>
      <c r="AY25" s="6"/>
      <c r="AZ25" s="5">
        <v>0</v>
      </c>
      <c r="BA25" s="5">
        <v>0</v>
      </c>
      <c r="BB25" s="21">
        <f t="shared" si="19"/>
        <v>0</v>
      </c>
      <c r="BC25" s="6">
        <f t="shared" si="20"/>
        <v>0</v>
      </c>
      <c r="BD25" s="6">
        <f>MROUND(((BB25*1)/100),1)</f>
        <v>0</v>
      </c>
      <c r="BE25" s="5"/>
      <c r="BF25" s="5"/>
      <c r="BG25" s="5">
        <v>0</v>
      </c>
      <c r="BH25" s="5">
        <v>0</v>
      </c>
      <c r="BI25" s="21">
        <f>BB25-BC25+BH25</f>
        <v>0</v>
      </c>
      <c r="BJ25" s="6">
        <f t="shared" si="23"/>
        <v>0</v>
      </c>
      <c r="BK25" s="6">
        <f>MROUND(((BI25*1)/100),1)</f>
        <v>0</v>
      </c>
      <c r="BL25" s="5"/>
      <c r="BM25" s="5"/>
      <c r="BN25" s="5"/>
      <c r="BO25" s="5">
        <v>0</v>
      </c>
      <c r="BP25" s="21">
        <f t="shared" si="25"/>
        <v>0</v>
      </c>
      <c r="BQ25" s="6">
        <f t="shared" si="26"/>
        <v>0</v>
      </c>
      <c r="BR25" s="6">
        <f>MROUND(((BP25*1)/100),1)</f>
        <v>0</v>
      </c>
      <c r="BS25" s="5"/>
      <c r="BT25" s="5"/>
      <c r="BU25" s="5"/>
      <c r="BV25" s="5">
        <v>0</v>
      </c>
      <c r="BW25" s="21">
        <f t="shared" si="28"/>
        <v>0</v>
      </c>
      <c r="BX25" s="6">
        <f t="shared" si="29"/>
        <v>0</v>
      </c>
      <c r="BY25" s="6">
        <f>MROUND(((BW25*1)/100),1)</f>
        <v>0</v>
      </c>
      <c r="BZ25" s="5"/>
      <c r="CA25" s="5"/>
      <c r="CB25" s="5">
        <v>0</v>
      </c>
      <c r="CC25" s="5">
        <v>0</v>
      </c>
      <c r="CD25" s="21">
        <f t="shared" si="31"/>
        <v>0</v>
      </c>
      <c r="CE25" s="6">
        <f t="shared" si="32"/>
        <v>0</v>
      </c>
      <c r="CF25" s="6">
        <f>MROUND(((CD25*1)/100),1)</f>
        <v>0</v>
      </c>
      <c r="CG25" s="5"/>
      <c r="CH25" s="5"/>
      <c r="CI25" s="5">
        <v>0</v>
      </c>
      <c r="CJ25" s="5"/>
      <c r="CK25" s="5" t="s">
        <v>42</v>
      </c>
      <c r="CL25" s="14">
        <f t="shared" si="34"/>
        <v>0</v>
      </c>
      <c r="CM25" s="14">
        <v>0</v>
      </c>
      <c r="CN25" s="14">
        <v>0</v>
      </c>
      <c r="CO25" s="14"/>
      <c r="CP25" s="14">
        <f>'2016 '!CS25</f>
        <v>0</v>
      </c>
      <c r="CQ25" s="14">
        <f t="shared" si="38"/>
        <v>0</v>
      </c>
      <c r="CR25" s="3">
        <f t="shared" si="35"/>
        <v>0</v>
      </c>
      <c r="CS25" s="41">
        <f t="shared" si="36"/>
        <v>0</v>
      </c>
      <c r="CT25" s="14">
        <v>10000</v>
      </c>
      <c r="CU25" s="14">
        <v>0</v>
      </c>
      <c r="CV25" s="14">
        <v>0</v>
      </c>
      <c r="CW25" s="14">
        <v>0</v>
      </c>
      <c r="CX25" s="14">
        <v>0</v>
      </c>
    </row>
    <row r="26" spans="1:102" ht="18.75">
      <c r="B26" s="5"/>
      <c r="C26" s="10">
        <f>SUM(C3:C25)</f>
        <v>891449</v>
      </c>
      <c r="D26" s="7">
        <f>SUM(D3:D25)</f>
        <v>114098</v>
      </c>
      <c r="E26" s="8">
        <f>SUM(E3:E25)</f>
        <v>4439</v>
      </c>
      <c r="F26" s="7">
        <f>SUM(F3:F25)</f>
        <v>14729</v>
      </c>
      <c r="G26" s="7">
        <f>SUM(G3:G25)</f>
        <v>20000</v>
      </c>
      <c r="H26" s="9">
        <v>93178</v>
      </c>
      <c r="I26" s="17">
        <f t="shared" ref="I26:N26" si="39">SUM(I3:I25)</f>
        <v>121312</v>
      </c>
      <c r="J26" s="17">
        <f t="shared" si="39"/>
        <v>898663</v>
      </c>
      <c r="K26" s="18">
        <f t="shared" si="39"/>
        <v>50827</v>
      </c>
      <c r="L26" s="19">
        <f t="shared" si="39"/>
        <v>4494</v>
      </c>
      <c r="M26" s="18">
        <f t="shared" si="39"/>
        <v>14700</v>
      </c>
      <c r="N26" s="18">
        <f t="shared" si="39"/>
        <v>20000</v>
      </c>
      <c r="O26" s="20">
        <v>91050</v>
      </c>
      <c r="P26" s="7">
        <f>SUM(P3:P25)</f>
        <v>139821</v>
      </c>
      <c r="Q26" s="21">
        <v>0</v>
      </c>
      <c r="R26" s="5"/>
      <c r="S26" s="6">
        <f t="shared" ref="S26" si="40">MROUND(((Q26*0.5)/100),1)</f>
        <v>0</v>
      </c>
      <c r="T26" s="5"/>
      <c r="U26" s="5"/>
      <c r="V26" s="5"/>
      <c r="W26" s="5"/>
      <c r="X26" s="21">
        <f t="shared" ref="X26:AO26" si="41">SUM(X3:X25)</f>
        <v>985046</v>
      </c>
      <c r="Y26" s="6">
        <f t="shared" si="41"/>
        <v>59077</v>
      </c>
      <c r="Z26" s="6">
        <f t="shared" si="41"/>
        <v>4926</v>
      </c>
      <c r="AA26" s="6">
        <f t="shared" si="41"/>
        <v>14700</v>
      </c>
      <c r="AB26" s="6">
        <f t="shared" si="41"/>
        <v>20000</v>
      </c>
      <c r="AC26" s="6">
        <f t="shared" si="41"/>
        <v>98703</v>
      </c>
      <c r="AD26" s="6">
        <f t="shared" si="41"/>
        <v>80000</v>
      </c>
      <c r="AE26" s="21">
        <f t="shared" si="41"/>
        <v>1005969</v>
      </c>
      <c r="AF26" s="6">
        <f t="shared" si="41"/>
        <v>94756</v>
      </c>
      <c r="AG26" s="24">
        <f t="shared" si="41"/>
        <v>5030</v>
      </c>
      <c r="AH26" s="6">
        <f t="shared" si="41"/>
        <v>14700</v>
      </c>
      <c r="AI26" s="24">
        <f t="shared" si="41"/>
        <v>20000</v>
      </c>
      <c r="AJ26" s="25">
        <f t="shared" si="41"/>
        <v>134486</v>
      </c>
      <c r="AK26" s="6">
        <f t="shared" si="41"/>
        <v>92286</v>
      </c>
      <c r="AL26" s="21">
        <f t="shared" si="41"/>
        <v>1003499</v>
      </c>
      <c r="AM26" s="6">
        <f t="shared" si="41"/>
        <v>104589</v>
      </c>
      <c r="AN26" s="24">
        <f t="shared" si="41"/>
        <v>5017</v>
      </c>
      <c r="AO26" s="6">
        <f t="shared" si="41"/>
        <v>14200</v>
      </c>
      <c r="AP26" s="24">
        <v>0</v>
      </c>
      <c r="AQ26" s="25">
        <f>SUM(AQ3:AQ25)</f>
        <v>123806</v>
      </c>
      <c r="AR26" s="6">
        <f>SUM(AR3:AR25)</f>
        <v>32000</v>
      </c>
      <c r="AS26" s="6">
        <f>SUM(AS3:AS25)</f>
        <v>15106</v>
      </c>
      <c r="AU26" s="27">
        <v>1055883</v>
      </c>
      <c r="AV26" s="14">
        <f>SUM(AV3:AV25)</f>
        <v>82871</v>
      </c>
      <c r="AW26" s="14">
        <f>SUM(AW3:AW25)</f>
        <v>4585</v>
      </c>
      <c r="AX26" s="14">
        <f>SUM(AX3:AX25)</f>
        <v>14700</v>
      </c>
      <c r="AY26" s="14">
        <v>0</v>
      </c>
      <c r="AZ26" s="14">
        <f>SUM(AZ3:BA25)</f>
        <v>123362</v>
      </c>
      <c r="BA26" s="14">
        <f>SUM(BA3:BA25)</f>
        <v>21206</v>
      </c>
      <c r="BB26" s="21">
        <v>1098483</v>
      </c>
      <c r="BC26" s="6">
        <f t="shared" ref="BC26:BM26" si="42">SUM(BC3:BC25)</f>
        <v>75227</v>
      </c>
      <c r="BD26" s="24">
        <f t="shared" si="42"/>
        <v>4276</v>
      </c>
      <c r="BE26" s="6">
        <f t="shared" si="42"/>
        <v>14700</v>
      </c>
      <c r="BF26" s="24">
        <f t="shared" si="42"/>
        <v>11800</v>
      </c>
      <c r="BG26" s="25">
        <f t="shared" si="42"/>
        <v>106003</v>
      </c>
      <c r="BH26" s="6">
        <f t="shared" si="42"/>
        <v>100000</v>
      </c>
      <c r="BI26" s="21">
        <f t="shared" si="42"/>
        <v>877124</v>
      </c>
      <c r="BJ26" s="6">
        <f t="shared" si="42"/>
        <v>117018</v>
      </c>
      <c r="BK26" s="24">
        <f t="shared" si="42"/>
        <v>4393</v>
      </c>
      <c r="BL26" s="6">
        <f t="shared" si="42"/>
        <v>19700</v>
      </c>
      <c r="BM26" s="24">
        <f t="shared" si="42"/>
        <v>11800</v>
      </c>
      <c r="BN26" s="25">
        <v>73772</v>
      </c>
      <c r="BO26" s="6">
        <f t="shared" ref="BO26:CA26" si="43">SUM(BO3:BO25)</f>
        <v>153211</v>
      </c>
      <c r="BP26" s="21">
        <f t="shared" si="43"/>
        <v>913317</v>
      </c>
      <c r="BQ26" s="6">
        <f t="shared" si="43"/>
        <v>79360</v>
      </c>
      <c r="BR26" s="24">
        <f t="shared" si="43"/>
        <v>4570</v>
      </c>
      <c r="BS26" s="6">
        <f t="shared" si="43"/>
        <v>19700</v>
      </c>
      <c r="BT26" s="24">
        <f t="shared" si="43"/>
        <v>11800</v>
      </c>
      <c r="BU26" s="25">
        <f t="shared" si="43"/>
        <v>115430</v>
      </c>
      <c r="BV26" s="6">
        <f t="shared" si="43"/>
        <v>92480</v>
      </c>
      <c r="BW26" s="21">
        <f t="shared" si="43"/>
        <v>926437</v>
      </c>
      <c r="BX26" s="6">
        <f t="shared" si="43"/>
        <v>143995</v>
      </c>
      <c r="BY26" s="24">
        <f t="shared" si="43"/>
        <v>4639</v>
      </c>
      <c r="BZ26" s="6">
        <f t="shared" si="43"/>
        <v>19700</v>
      </c>
      <c r="CA26" s="24">
        <f t="shared" si="43"/>
        <v>11800</v>
      </c>
      <c r="CB26" s="25">
        <v>58044</v>
      </c>
      <c r="CC26" s="6">
        <f t="shared" ref="CC26:CH26" si="44">SUM(CC3:CC25)</f>
        <v>24606</v>
      </c>
      <c r="CD26" s="21">
        <f t="shared" si="44"/>
        <v>807048</v>
      </c>
      <c r="CE26" s="6">
        <f t="shared" si="44"/>
        <v>70820</v>
      </c>
      <c r="CF26" s="24">
        <f t="shared" si="44"/>
        <v>4035</v>
      </c>
      <c r="CG26" s="6">
        <f t="shared" si="44"/>
        <v>19700</v>
      </c>
      <c r="CH26" s="24">
        <f t="shared" si="44"/>
        <v>11800</v>
      </c>
      <c r="CI26" s="25">
        <v>51396</v>
      </c>
      <c r="CJ26" s="6">
        <f>SUM(CJ3:CJ25)</f>
        <v>245011</v>
      </c>
      <c r="CL26" s="14">
        <f>SUM(CL3:CL25)</f>
        <v>981239</v>
      </c>
      <c r="CM26" s="14">
        <v>0</v>
      </c>
      <c r="CN26" s="14">
        <v>50000</v>
      </c>
      <c r="CO26" s="14">
        <v>85000</v>
      </c>
      <c r="CP26" s="14">
        <f>SUM(CP3:CP25)</f>
        <v>1135130</v>
      </c>
      <c r="CQ26" s="14">
        <f>SUM(CQ3:CQ25)</f>
        <v>1185541</v>
      </c>
      <c r="CR26" s="3">
        <f>SUM(CR3:CR25)</f>
        <v>35662</v>
      </c>
      <c r="CS26" s="41">
        <f>SUM(CS3:CS25)</f>
        <v>1221203</v>
      </c>
      <c r="CT26" s="14">
        <v>620098</v>
      </c>
      <c r="CU26" s="14">
        <v>66845</v>
      </c>
      <c r="CV26" s="14">
        <v>658232</v>
      </c>
      <c r="CW26" s="14">
        <v>1133547</v>
      </c>
      <c r="CX26" s="14">
        <v>300872</v>
      </c>
    </row>
    <row r="27" spans="1:102" ht="18.75">
      <c r="Q27" s="21">
        <f t="shared" ref="Q27:W27" si="45">SUM(Q3:Q26)</f>
        <v>987657</v>
      </c>
      <c r="R27" s="6">
        <f t="shared" si="45"/>
        <v>43111</v>
      </c>
      <c r="S27" s="24">
        <f t="shared" si="45"/>
        <v>4939</v>
      </c>
      <c r="T27" s="6">
        <f t="shared" si="45"/>
        <v>14700</v>
      </c>
      <c r="U27" s="24">
        <f t="shared" si="45"/>
        <v>20000</v>
      </c>
      <c r="V27" s="25">
        <f t="shared" si="45"/>
        <v>82750</v>
      </c>
      <c r="W27" s="6">
        <f t="shared" si="45"/>
        <v>40500</v>
      </c>
      <c r="CQ27" s="3">
        <v>0</v>
      </c>
    </row>
    <row r="28" spans="1:102">
      <c r="C28" s="3">
        <v>5477</v>
      </c>
      <c r="AJ28" s="14">
        <v>0</v>
      </c>
      <c r="AQ28" s="14">
        <v>0</v>
      </c>
      <c r="BG28" s="14">
        <v>0</v>
      </c>
      <c r="BM28" s="14">
        <v>0</v>
      </c>
      <c r="BU28" s="14">
        <v>0</v>
      </c>
      <c r="CB28" s="14">
        <v>0</v>
      </c>
      <c r="CH28" s="14">
        <v>0</v>
      </c>
      <c r="CP28" s="14">
        <v>1578828</v>
      </c>
      <c r="CQ28" s="14">
        <v>1313648</v>
      </c>
    </row>
    <row r="29" spans="1:102">
      <c r="G29" s="14">
        <v>0</v>
      </c>
      <c r="O29" s="14">
        <v>0</v>
      </c>
      <c r="U29" s="14">
        <v>0</v>
      </c>
      <c r="AC29" s="14">
        <v>0</v>
      </c>
    </row>
    <row r="30" spans="1:102">
      <c r="C30" s="3" t="s">
        <v>18</v>
      </c>
      <c r="D30" s="14">
        <v>620098</v>
      </c>
      <c r="H30" s="3" t="s">
        <v>80</v>
      </c>
      <c r="I30" s="15" t="s">
        <v>81</v>
      </c>
      <c r="J30" s="3" t="s">
        <v>82</v>
      </c>
      <c r="CM30" s="14">
        <v>0</v>
      </c>
      <c r="CP30" s="27">
        <v>1879700</v>
      </c>
    </row>
    <row r="31" spans="1:102" ht="20.25">
      <c r="B31" s="190" t="s">
        <v>98</v>
      </c>
      <c r="C31" s="190"/>
      <c r="D31" s="190"/>
      <c r="E31" s="190"/>
      <c r="F31" s="190"/>
      <c r="G31" s="190"/>
      <c r="H31" s="14">
        <f>F26+M26+T27+AA26+AH26+AO26+AX26+BE26+BL26+BS26+BZ26+CG26</f>
        <v>195929</v>
      </c>
      <c r="I31" s="27">
        <f>D26+K26+R27+Y26+AF26+AM26+AV26+BC26+BJ26+BQ26+BX26+CE26</f>
        <v>1035749</v>
      </c>
      <c r="J31" s="14">
        <f>I26+P26+W27+AD26+AK26+AS26+BA26+BH26+BO26+BV26+CC26+CJ26</f>
        <v>1125539</v>
      </c>
      <c r="K31" s="14"/>
      <c r="O31" s="29">
        <f>M34-O33</f>
        <v>1</v>
      </c>
      <c r="CM31" s="14">
        <v>0</v>
      </c>
    </row>
    <row r="32" spans="1:102" ht="21">
      <c r="B32" s="54" t="s">
        <v>92</v>
      </c>
      <c r="C32" s="54" t="s">
        <v>45</v>
      </c>
      <c r="D32" s="54"/>
      <c r="E32" s="54" t="s">
        <v>93</v>
      </c>
      <c r="F32" s="54" t="s">
        <v>45</v>
      </c>
      <c r="G32" s="54"/>
      <c r="H32" s="14"/>
      <c r="I32" s="27"/>
      <c r="J32" s="14"/>
      <c r="K32" s="191" t="s">
        <v>99</v>
      </c>
      <c r="L32" s="191"/>
      <c r="M32" s="191"/>
      <c r="N32" s="191"/>
      <c r="O32" s="191"/>
      <c r="P32" s="191"/>
      <c r="Q32" s="191"/>
      <c r="R32" s="191"/>
      <c r="S32" s="191"/>
      <c r="BF32" s="3">
        <v>0</v>
      </c>
      <c r="CM32" s="14">
        <v>0</v>
      </c>
      <c r="CP32" s="14">
        <v>1578828</v>
      </c>
    </row>
    <row r="33" spans="2:23">
      <c r="B33" s="5" t="s">
        <v>84</v>
      </c>
      <c r="C33" s="6">
        <f>H31+F36</f>
        <v>241675</v>
      </c>
      <c r="D33" s="5"/>
      <c r="E33" s="5"/>
      <c r="F33" s="5"/>
      <c r="G33" s="5"/>
      <c r="K33" s="173" t="s">
        <v>44</v>
      </c>
      <c r="L33" s="173"/>
      <c r="M33" s="173" t="s">
        <v>45</v>
      </c>
      <c r="N33" s="173"/>
      <c r="O33" s="6">
        <f>CQ26</f>
        <v>1185541</v>
      </c>
      <c r="P33" s="173" t="s">
        <v>46</v>
      </c>
      <c r="Q33" s="173"/>
      <c r="R33" s="173" t="s">
        <v>45</v>
      </c>
      <c r="S33" s="173"/>
    </row>
    <row r="34" spans="2:23" ht="15.75">
      <c r="B34" s="5" t="s">
        <v>73</v>
      </c>
      <c r="C34" s="6">
        <f>G26+N26+U27+AB26+AI26+AP26+AY26+BF26+BT26+CA26+CH26+BM26</f>
        <v>159000</v>
      </c>
      <c r="D34" s="5"/>
      <c r="E34" s="5" t="s">
        <v>47</v>
      </c>
      <c r="F34" s="6">
        <f>J31</f>
        <v>1125539</v>
      </c>
      <c r="G34" s="6">
        <v>0</v>
      </c>
      <c r="K34" s="192" t="s">
        <v>48</v>
      </c>
      <c r="L34" s="192"/>
      <c r="M34" s="193">
        <f>M36+(M37-M38)</f>
        <v>1185542</v>
      </c>
      <c r="N34" s="192"/>
      <c r="O34" s="5"/>
      <c r="P34" s="192" t="s">
        <v>49</v>
      </c>
      <c r="Q34" s="192"/>
      <c r="R34" s="193">
        <f>R35+(R36-R37)</f>
        <v>46359</v>
      </c>
      <c r="S34" s="193"/>
      <c r="T34" s="3" t="s">
        <v>20</v>
      </c>
    </row>
    <row r="35" spans="2:23">
      <c r="B35" s="5" t="s">
        <v>50</v>
      </c>
      <c r="C35" s="6">
        <f>I31</f>
        <v>1035749</v>
      </c>
      <c r="D35" s="6"/>
      <c r="E35" s="55" t="s">
        <v>51</v>
      </c>
      <c r="F35" s="57">
        <v>118000</v>
      </c>
      <c r="G35" s="5"/>
      <c r="H35" s="31">
        <f>C42-F42</f>
        <v>0</v>
      </c>
      <c r="K35" s="173"/>
      <c r="L35" s="173"/>
      <c r="M35" s="173"/>
      <c r="N35" s="173"/>
      <c r="O35" s="5"/>
      <c r="P35" s="173" t="s">
        <v>52</v>
      </c>
      <c r="Q35" s="173"/>
      <c r="R35" s="174">
        <f>'2016 '!R35:S35</f>
        <v>151983</v>
      </c>
      <c r="S35" s="174"/>
    </row>
    <row r="36" spans="2:23">
      <c r="B36" s="5" t="s">
        <v>53</v>
      </c>
      <c r="C36" s="24">
        <f>E26+L26+S27+Z26+AG26+AN26+AW26+BD26+BK26+BR26+BY26+CF26</f>
        <v>55343</v>
      </c>
      <c r="D36" s="5"/>
      <c r="E36" s="55" t="s">
        <v>54</v>
      </c>
      <c r="F36" s="57">
        <f>'2016 '!M42</f>
        <v>45746</v>
      </c>
      <c r="G36" s="5"/>
      <c r="H36" s="30"/>
      <c r="K36" s="173" t="s">
        <v>52</v>
      </c>
      <c r="L36" s="173"/>
      <c r="M36" s="174">
        <f>'2016 '!M35</f>
        <v>1089385</v>
      </c>
      <c r="N36" s="174"/>
      <c r="O36" s="5"/>
      <c r="P36" s="173" t="s">
        <v>56</v>
      </c>
      <c r="Q36" s="173"/>
      <c r="R36" s="174">
        <f>F38</f>
        <v>240376</v>
      </c>
      <c r="S36" s="174"/>
    </row>
    <row r="37" spans="2:23">
      <c r="B37" s="5"/>
      <c r="C37" s="5"/>
      <c r="D37" s="5"/>
      <c r="E37" s="55" t="s">
        <v>57</v>
      </c>
      <c r="F37" s="57">
        <v>145518</v>
      </c>
      <c r="G37" s="5"/>
      <c r="H37" s="30"/>
      <c r="K37" s="173" t="s">
        <v>58</v>
      </c>
      <c r="L37" s="173"/>
      <c r="M37" s="174">
        <f>C33</f>
        <v>241675</v>
      </c>
      <c r="N37" s="174"/>
      <c r="O37" s="5"/>
      <c r="P37" s="173" t="s">
        <v>59</v>
      </c>
      <c r="Q37" s="173"/>
      <c r="R37" s="174">
        <f>C39</f>
        <v>346000</v>
      </c>
      <c r="S37" s="174"/>
    </row>
    <row r="38" spans="2:23" ht="15.75">
      <c r="B38" s="5" t="s">
        <v>60</v>
      </c>
      <c r="C38" s="5"/>
      <c r="D38" s="5"/>
      <c r="E38" s="55" t="s">
        <v>61</v>
      </c>
      <c r="F38" s="57">
        <v>240376</v>
      </c>
      <c r="G38" s="5"/>
      <c r="H38" s="30"/>
      <c r="K38" s="173" t="s">
        <v>62</v>
      </c>
      <c r="L38" s="173"/>
      <c r="M38" s="174">
        <f>F37</f>
        <v>145518</v>
      </c>
      <c r="N38" s="174"/>
      <c r="O38" s="5"/>
      <c r="P38" s="192" t="s">
        <v>11</v>
      </c>
      <c r="Q38" s="192"/>
      <c r="R38" s="193">
        <f>R39+(R40-R41)</f>
        <v>59000</v>
      </c>
      <c r="S38" s="193"/>
      <c r="T38" s="3" t="s">
        <v>20</v>
      </c>
    </row>
    <row r="39" spans="2:23">
      <c r="B39" s="55" t="s">
        <v>85</v>
      </c>
      <c r="C39" s="56">
        <v>346000</v>
      </c>
      <c r="D39" s="56"/>
      <c r="E39" s="55" t="s">
        <v>63</v>
      </c>
      <c r="F39" s="57">
        <v>134607</v>
      </c>
      <c r="G39" s="5"/>
      <c r="H39" s="30"/>
      <c r="I39" s="15"/>
      <c r="K39" s="173"/>
      <c r="L39" s="173"/>
      <c r="M39" s="174"/>
      <c r="N39" s="174"/>
      <c r="O39" s="5"/>
      <c r="P39" s="173" t="s">
        <v>52</v>
      </c>
      <c r="Q39" s="173"/>
      <c r="R39" s="174">
        <f>'2016 '!R39:S39</f>
        <v>100000</v>
      </c>
      <c r="S39" s="174"/>
    </row>
    <row r="40" spans="2:23">
      <c r="B40" s="55" t="s">
        <v>64</v>
      </c>
      <c r="C40" s="57">
        <f>'2016 '!F40</f>
        <v>-8301</v>
      </c>
      <c r="D40" s="57"/>
      <c r="E40" s="55" t="s">
        <v>65</v>
      </c>
      <c r="F40" s="57">
        <v>9680</v>
      </c>
      <c r="G40" s="5"/>
      <c r="H40" s="30"/>
      <c r="I40" s="15"/>
      <c r="K40" s="173" t="s">
        <v>66</v>
      </c>
      <c r="L40" s="173"/>
      <c r="M40" s="174"/>
      <c r="N40" s="174"/>
      <c r="O40" s="5"/>
      <c r="P40" s="173" t="s">
        <v>67</v>
      </c>
      <c r="Q40" s="173"/>
      <c r="R40" s="174">
        <f>F35</f>
        <v>118000</v>
      </c>
      <c r="S40" s="174"/>
    </row>
    <row r="41" spans="2:23">
      <c r="B41" s="5"/>
      <c r="C41" s="5"/>
      <c r="D41" s="5"/>
      <c r="E41" s="5" t="s">
        <v>111</v>
      </c>
      <c r="F41" s="57">
        <v>10000</v>
      </c>
      <c r="G41" s="5"/>
      <c r="I41" s="15"/>
      <c r="K41" s="173"/>
      <c r="L41" s="173"/>
      <c r="M41" s="174">
        <v>35663</v>
      </c>
      <c r="N41" s="174"/>
      <c r="O41" s="5"/>
      <c r="P41" s="173" t="s">
        <v>58</v>
      </c>
      <c r="Q41" s="173"/>
      <c r="R41" s="174">
        <f>C34</f>
        <v>159000</v>
      </c>
      <c r="S41" s="174"/>
      <c r="W41" s="3" t="s">
        <v>13</v>
      </c>
    </row>
    <row r="42" spans="2:23" ht="15.75">
      <c r="B42" s="59" t="s">
        <v>94</v>
      </c>
      <c r="C42" s="60">
        <f>SUM(C33:C41)</f>
        <v>1829466</v>
      </c>
      <c r="D42" s="59"/>
      <c r="E42" s="59" t="s">
        <v>94</v>
      </c>
      <c r="F42" s="60">
        <f>SUM(F34:F41)</f>
        <v>1829466</v>
      </c>
      <c r="G42" s="5"/>
      <c r="I42" s="15"/>
      <c r="K42" s="173"/>
      <c r="L42" s="173"/>
      <c r="M42" s="174"/>
      <c r="N42" s="174"/>
      <c r="O42" s="5"/>
      <c r="P42" s="192" t="s">
        <v>7</v>
      </c>
      <c r="Q42" s="192"/>
      <c r="R42" s="194">
        <f>R43+(R44-R45)</f>
        <v>981239</v>
      </c>
      <c r="S42" s="194"/>
      <c r="U42" s="29">
        <f>R47-M47</f>
        <v>0</v>
      </c>
      <c r="W42" s="14">
        <f>CL26</f>
        <v>981239</v>
      </c>
    </row>
    <row r="43" spans="2:23" ht="15.75" thickBot="1">
      <c r="I43" s="15"/>
      <c r="K43" s="173"/>
      <c r="L43" s="173"/>
      <c r="M43" s="174"/>
      <c r="N43" s="174"/>
      <c r="O43" s="5"/>
      <c r="P43" s="173" t="s">
        <v>52</v>
      </c>
      <c r="Q43" s="173"/>
      <c r="R43" s="174">
        <f>'2016 '!R43:S43</f>
        <v>891449</v>
      </c>
      <c r="S43" s="174"/>
      <c r="W43" s="29">
        <f>R42-W42</f>
        <v>0</v>
      </c>
    </row>
    <row r="44" spans="2:23">
      <c r="B44" s="86" t="s">
        <v>107</v>
      </c>
      <c r="C44" s="42"/>
      <c r="D44" s="42">
        <v>50000</v>
      </c>
      <c r="E44" s="43" t="s">
        <v>22</v>
      </c>
      <c r="K44" s="63"/>
      <c r="L44" s="63"/>
      <c r="M44" s="56"/>
      <c r="N44" s="56"/>
      <c r="O44" s="5"/>
      <c r="P44" s="173" t="s">
        <v>67</v>
      </c>
      <c r="Q44" s="173"/>
      <c r="R44" s="174">
        <f>F34</f>
        <v>1125539</v>
      </c>
      <c r="S44" s="174"/>
      <c r="W44" s="15"/>
    </row>
    <row r="45" spans="2:23">
      <c r="B45" s="44"/>
      <c r="C45" s="46"/>
      <c r="D45" s="46">
        <v>50000</v>
      </c>
      <c r="E45" s="87" t="s">
        <v>24</v>
      </c>
      <c r="K45" s="173"/>
      <c r="L45" s="173"/>
      <c r="M45" s="174"/>
      <c r="N45" s="174"/>
      <c r="O45" s="5"/>
      <c r="P45" s="173" t="s">
        <v>58</v>
      </c>
      <c r="Q45" s="173"/>
      <c r="R45" s="174">
        <f>C35</f>
        <v>1035749</v>
      </c>
      <c r="S45" s="174"/>
      <c r="W45" s="29"/>
    </row>
    <row r="46" spans="2:23">
      <c r="B46" s="44"/>
      <c r="C46" s="46"/>
      <c r="D46" s="46">
        <v>45518</v>
      </c>
      <c r="E46" s="88" t="s">
        <v>105</v>
      </c>
      <c r="K46" s="63"/>
      <c r="L46" s="63"/>
      <c r="M46" s="56"/>
      <c r="N46" s="56"/>
      <c r="O46" s="5"/>
      <c r="P46" s="173" t="s">
        <v>68</v>
      </c>
      <c r="Q46" s="173"/>
      <c r="R46" s="174">
        <f>F39</f>
        <v>134607</v>
      </c>
      <c r="S46" s="174"/>
    </row>
    <row r="47" spans="2:23" ht="16.5" thickBot="1">
      <c r="B47" s="49"/>
      <c r="C47" s="89" t="s">
        <v>94</v>
      </c>
      <c r="D47" s="90">
        <f>SUM(D44:D46)</f>
        <v>145518</v>
      </c>
      <c r="E47" s="51"/>
      <c r="K47" s="192" t="s">
        <v>12</v>
      </c>
      <c r="L47" s="192"/>
      <c r="M47" s="193">
        <f>M34+M41</f>
        <v>1221205</v>
      </c>
      <c r="N47" s="193"/>
      <c r="O47" s="59"/>
      <c r="P47" s="192" t="s">
        <v>12</v>
      </c>
      <c r="Q47" s="192"/>
      <c r="R47" s="193">
        <f>R34+R38+R42+R46</f>
        <v>1221205</v>
      </c>
      <c r="S47" s="193"/>
    </row>
    <row r="48" spans="2:23">
      <c r="B48" s="32"/>
      <c r="E48" s="32"/>
    </row>
    <row r="49" spans="2:8">
      <c r="B49" s="32"/>
      <c r="E49" s="33"/>
      <c r="F49" s="30"/>
      <c r="H49" s="30"/>
    </row>
    <row r="50" spans="2:8">
      <c r="B50" s="32"/>
      <c r="E50" s="33"/>
      <c r="F50" s="30"/>
      <c r="H50" s="30"/>
    </row>
    <row r="51" spans="2:8">
      <c r="B51" s="32"/>
      <c r="E51" s="33"/>
      <c r="F51" s="30"/>
      <c r="H51" s="30"/>
    </row>
    <row r="52" spans="2:8">
      <c r="B52" s="32"/>
      <c r="E52" s="33"/>
      <c r="F52" s="30"/>
      <c r="G52" s="30"/>
      <c r="H52" s="30"/>
    </row>
    <row r="53" spans="2:8">
      <c r="B53" s="33"/>
      <c r="C53" s="37"/>
      <c r="E53" s="33"/>
      <c r="F53" s="30"/>
      <c r="H53" s="30"/>
    </row>
    <row r="54" spans="2:8">
      <c r="B54" s="33"/>
      <c r="C54" s="30"/>
      <c r="E54" s="33"/>
      <c r="F54" s="30"/>
      <c r="H54" s="30"/>
    </row>
    <row r="55" spans="2:8">
      <c r="E55" s="32"/>
    </row>
  </sheetData>
  <mergeCells count="58">
    <mergeCell ref="K33:L33"/>
    <mergeCell ref="M33:N33"/>
    <mergeCell ref="P33:Q33"/>
    <mergeCell ref="R33:S33"/>
    <mergeCell ref="K34:L34"/>
    <mergeCell ref="M34:N34"/>
    <mergeCell ref="P34:Q34"/>
    <mergeCell ref="R34:S34"/>
    <mergeCell ref="K35:L35"/>
    <mergeCell ref="M35:N35"/>
    <mergeCell ref="P35:Q35"/>
    <mergeCell ref="R35:S35"/>
    <mergeCell ref="K36:L36"/>
    <mergeCell ref="M36:N36"/>
    <mergeCell ref="P36:Q36"/>
    <mergeCell ref="R36:S36"/>
    <mergeCell ref="K37:L37"/>
    <mergeCell ref="M37:N37"/>
    <mergeCell ref="P37:Q37"/>
    <mergeCell ref="R37:S37"/>
    <mergeCell ref="K38:L38"/>
    <mergeCell ref="M38:N38"/>
    <mergeCell ref="P38:Q38"/>
    <mergeCell ref="R38:S38"/>
    <mergeCell ref="K39:L39"/>
    <mergeCell ref="M39:N39"/>
    <mergeCell ref="P39:Q39"/>
    <mergeCell ref="R39:S39"/>
    <mergeCell ref="K40:L40"/>
    <mergeCell ref="M40:N40"/>
    <mergeCell ref="P40:Q40"/>
    <mergeCell ref="R40:S40"/>
    <mergeCell ref="P44:Q44"/>
    <mergeCell ref="R44:S44"/>
    <mergeCell ref="K41:L41"/>
    <mergeCell ref="M41:N41"/>
    <mergeCell ref="P41:Q41"/>
    <mergeCell ref="R41:S41"/>
    <mergeCell ref="K42:L42"/>
    <mergeCell ref="M42:N42"/>
    <mergeCell ref="P42:Q42"/>
    <mergeCell ref="R42:S42"/>
    <mergeCell ref="B31:G31"/>
    <mergeCell ref="K32:S32"/>
    <mergeCell ref="K47:L47"/>
    <mergeCell ref="M47:N47"/>
    <mergeCell ref="P47:Q47"/>
    <mergeCell ref="R47:S47"/>
    <mergeCell ref="K45:L45"/>
    <mergeCell ref="M45:N45"/>
    <mergeCell ref="P45:Q45"/>
    <mergeCell ref="R45:S45"/>
    <mergeCell ref="P46:Q46"/>
    <mergeCell ref="R46:S46"/>
    <mergeCell ref="K43:L43"/>
    <mergeCell ref="M43:N43"/>
    <mergeCell ref="P43:Q43"/>
    <mergeCell ref="R43:S43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X55"/>
  <sheetViews>
    <sheetView topLeftCell="A19" workbookViewId="0">
      <selection activeCell="F40" sqref="F40"/>
    </sheetView>
  </sheetViews>
  <sheetFormatPr defaultRowHeight="15"/>
  <cols>
    <col min="1" max="1" width="9.140625" style="3"/>
    <col min="2" max="2" width="20.140625" style="3" bestFit="1" customWidth="1"/>
    <col min="3" max="3" width="13.140625" style="3" bestFit="1" customWidth="1"/>
    <col min="4" max="4" width="10.28515625" style="3" bestFit="1" customWidth="1"/>
    <col min="5" max="5" width="19.140625" style="3" bestFit="1" customWidth="1"/>
    <col min="6" max="6" width="13.140625" style="3" bestFit="1" customWidth="1"/>
    <col min="7" max="7" width="10.140625" style="3" bestFit="1" customWidth="1"/>
    <col min="8" max="8" width="12.7109375" style="3" bestFit="1" customWidth="1"/>
    <col min="9" max="10" width="11.7109375" style="3" bestFit="1" customWidth="1"/>
    <col min="11" max="11" width="10.28515625" style="3" bestFit="1" customWidth="1"/>
    <col min="12" max="12" width="13.140625" style="3" bestFit="1" customWidth="1"/>
    <col min="13" max="13" width="9.140625" style="3"/>
    <col min="14" max="14" width="14.7109375" style="3" bestFit="1" customWidth="1"/>
    <col min="15" max="15" width="11.7109375" style="3" bestFit="1" customWidth="1"/>
    <col min="16" max="16" width="10.140625" style="3" bestFit="1" customWidth="1"/>
    <col min="17" max="17" width="11.7109375" style="3" bestFit="1" customWidth="1"/>
    <col min="18" max="18" width="10.28515625" style="3" bestFit="1" customWidth="1"/>
    <col min="19" max="19" width="13.140625" style="3" bestFit="1" customWidth="1"/>
    <col min="20" max="20" width="9.140625" style="3"/>
    <col min="21" max="21" width="14.7109375" style="3" bestFit="1" customWidth="1"/>
    <col min="22" max="22" width="12.7109375" style="3" bestFit="1" customWidth="1"/>
    <col min="23" max="24" width="11.7109375" style="3" bestFit="1" customWidth="1"/>
    <col min="25" max="25" width="10.28515625" style="3" bestFit="1" customWidth="1"/>
    <col min="26" max="26" width="13.140625" style="3" bestFit="1" customWidth="1"/>
    <col min="27" max="27" width="9.140625" style="3"/>
    <col min="28" max="28" width="14.7109375" style="3" bestFit="1" customWidth="1"/>
    <col min="29" max="30" width="10.140625" style="3" bestFit="1" customWidth="1"/>
    <col min="31" max="31" width="11.7109375" style="3" bestFit="1" customWidth="1"/>
    <col min="32" max="32" width="10.28515625" style="3" bestFit="1" customWidth="1"/>
    <col min="33" max="33" width="13.140625" style="3" bestFit="1" customWidth="1"/>
    <col min="34" max="34" width="9.140625" style="3"/>
    <col min="35" max="35" width="14.7109375" style="3" bestFit="1" customWidth="1"/>
    <col min="36" max="36" width="14.28515625" style="3" bestFit="1" customWidth="1"/>
    <col min="37" max="37" width="9.140625" style="3"/>
    <col min="38" max="39" width="11.7109375" style="3" bestFit="1" customWidth="1"/>
    <col min="40" max="40" width="13.140625" style="3" bestFit="1" customWidth="1"/>
    <col min="41" max="41" width="9.140625" style="3"/>
    <col min="42" max="42" width="14.7109375" style="3" bestFit="1" customWidth="1"/>
    <col min="43" max="43" width="14.28515625" style="3" bestFit="1" customWidth="1"/>
    <col min="44" max="45" width="10.140625" style="3" bestFit="1" customWidth="1"/>
    <col min="46" max="46" width="9.140625" style="3"/>
    <col min="47" max="47" width="11.7109375" style="3" bestFit="1" customWidth="1"/>
    <col min="48" max="48" width="10.28515625" style="3" bestFit="1" customWidth="1"/>
    <col min="49" max="49" width="13.140625" style="3" bestFit="1" customWidth="1"/>
    <col min="50" max="50" width="9.140625" style="3"/>
    <col min="51" max="51" width="14.7109375" style="3" bestFit="1" customWidth="1"/>
    <col min="52" max="52" width="10.140625" style="3" bestFit="1" customWidth="1"/>
    <col min="53" max="53" width="9.140625" style="3"/>
    <col min="54" max="54" width="11.7109375" style="3" bestFit="1" customWidth="1"/>
    <col min="55" max="55" width="10.28515625" style="3" bestFit="1" customWidth="1"/>
    <col min="56" max="56" width="13.140625" style="3" bestFit="1" customWidth="1"/>
    <col min="57" max="57" width="9.140625" style="3"/>
    <col min="58" max="58" width="14.7109375" style="3" bestFit="1" customWidth="1"/>
    <col min="59" max="59" width="14.28515625" style="3" bestFit="1" customWidth="1"/>
    <col min="60" max="60" width="10.140625" style="3" bestFit="1" customWidth="1"/>
    <col min="61" max="61" width="11.7109375" style="3" bestFit="1" customWidth="1"/>
    <col min="62" max="62" width="10.28515625" style="3" bestFit="1" customWidth="1"/>
    <col min="63" max="63" width="13.140625" style="3" bestFit="1" customWidth="1"/>
    <col min="64" max="64" width="9.140625" style="3"/>
    <col min="65" max="65" width="14.7109375" style="3" bestFit="1" customWidth="1"/>
    <col min="66" max="66" width="12.7109375" style="3" bestFit="1" customWidth="1"/>
    <col min="67" max="67" width="10.140625" style="3" bestFit="1" customWidth="1"/>
    <col min="68" max="68" width="11.7109375" style="3" bestFit="1" customWidth="1"/>
    <col min="69" max="69" width="10.28515625" style="3" bestFit="1" customWidth="1"/>
    <col min="70" max="70" width="13.140625" style="3" bestFit="1" customWidth="1"/>
    <col min="71" max="71" width="9.140625" style="3"/>
    <col min="72" max="72" width="14.7109375" style="3" bestFit="1" customWidth="1"/>
    <col min="73" max="73" width="14.28515625" style="3" bestFit="1" customWidth="1"/>
    <col min="74" max="74" width="10.140625" style="3" bestFit="1" customWidth="1"/>
    <col min="75" max="75" width="11.7109375" style="3" bestFit="1" customWidth="1"/>
    <col min="76" max="76" width="10.28515625" style="3" bestFit="1" customWidth="1"/>
    <col min="77" max="77" width="13.140625" style="3" bestFit="1" customWidth="1"/>
    <col min="78" max="78" width="9.140625" style="3"/>
    <col min="79" max="79" width="14.7109375" style="3" bestFit="1" customWidth="1"/>
    <col min="80" max="80" width="12.7109375" style="3" bestFit="1" customWidth="1"/>
    <col min="81" max="81" width="10.140625" style="3" bestFit="1" customWidth="1"/>
    <col min="82" max="82" width="11.7109375" style="3" bestFit="1" customWidth="1"/>
    <col min="83" max="83" width="10.28515625" style="3" bestFit="1" customWidth="1"/>
    <col min="84" max="84" width="13.140625" style="3" bestFit="1" customWidth="1"/>
    <col min="85" max="85" width="9.140625" style="3"/>
    <col min="86" max="86" width="14.7109375" style="3" bestFit="1" customWidth="1"/>
    <col min="87" max="87" width="12.7109375" style="3" bestFit="1" customWidth="1"/>
    <col min="88" max="88" width="10.140625" style="3" bestFit="1" customWidth="1"/>
    <col min="89" max="89" width="20.140625" style="3" bestFit="1" customWidth="1"/>
    <col min="90" max="90" width="11.7109375" style="3" bestFit="1" customWidth="1"/>
    <col min="91" max="91" width="10.140625" style="3" bestFit="1" customWidth="1"/>
    <col min="92" max="93" width="9.140625" style="3"/>
    <col min="94" max="95" width="11.7109375" style="3" bestFit="1" customWidth="1"/>
    <col min="96" max="96" width="10.140625" style="3" bestFit="1" customWidth="1"/>
    <col min="97" max="97" width="11.7109375" style="40" bestFit="1" customWidth="1"/>
    <col min="98" max="98" width="10.140625" style="3" bestFit="1" customWidth="1"/>
    <col min="99" max="99" width="9.140625" style="3"/>
    <col min="100" max="100" width="10.140625" style="3" bestFit="1" customWidth="1"/>
    <col min="101" max="101" width="11.7109375" style="3" bestFit="1" customWidth="1"/>
    <col min="102" max="102" width="10.140625" style="3" bestFit="1" customWidth="1"/>
    <col min="103" max="16384" width="9.140625" style="3"/>
  </cols>
  <sheetData>
    <row r="1" spans="1:102">
      <c r="D1" s="4">
        <v>43191</v>
      </c>
      <c r="L1" s="4">
        <v>43221</v>
      </c>
      <c r="S1" s="4">
        <v>43252</v>
      </c>
      <c r="Z1" s="4">
        <v>43282</v>
      </c>
      <c r="AF1" s="4">
        <v>43313</v>
      </c>
      <c r="AM1" s="3" t="s">
        <v>0</v>
      </c>
      <c r="AX1" s="3" t="s">
        <v>1</v>
      </c>
      <c r="BE1" s="3" t="s">
        <v>2</v>
      </c>
      <c r="BK1" s="3" t="s">
        <v>3</v>
      </c>
      <c r="BS1" s="3" t="s">
        <v>4</v>
      </c>
      <c r="BX1" s="3" t="s">
        <v>5</v>
      </c>
      <c r="CE1" s="3" t="s">
        <v>69</v>
      </c>
    </row>
    <row r="2" spans="1:102" ht="15.75">
      <c r="B2" s="10" t="s">
        <v>6</v>
      </c>
      <c r="C2" s="23" t="s">
        <v>7</v>
      </c>
      <c r="D2" s="11" t="s">
        <v>8</v>
      </c>
      <c r="E2" s="11" t="s">
        <v>9</v>
      </c>
      <c r="F2" s="11" t="s">
        <v>10</v>
      </c>
      <c r="G2" s="22" t="s">
        <v>11</v>
      </c>
      <c r="H2" s="12" t="s">
        <v>12</v>
      </c>
      <c r="I2" s="13" t="s">
        <v>13</v>
      </c>
      <c r="J2" s="23" t="s">
        <v>7</v>
      </c>
      <c r="K2" s="11" t="s">
        <v>8</v>
      </c>
      <c r="L2" s="11" t="s">
        <v>9</v>
      </c>
      <c r="M2" s="11" t="s">
        <v>10</v>
      </c>
      <c r="N2" s="11" t="s">
        <v>14</v>
      </c>
      <c r="O2" s="12" t="s">
        <v>12</v>
      </c>
      <c r="P2" s="16" t="s">
        <v>7</v>
      </c>
      <c r="Q2" s="23" t="s">
        <v>7</v>
      </c>
      <c r="R2" s="11" t="s">
        <v>8</v>
      </c>
      <c r="S2" s="11" t="s">
        <v>9</v>
      </c>
      <c r="T2" s="11" t="s">
        <v>10</v>
      </c>
      <c r="U2" s="11" t="s">
        <v>14</v>
      </c>
      <c r="V2" s="12" t="s">
        <v>12</v>
      </c>
      <c r="W2" s="16" t="s">
        <v>7</v>
      </c>
      <c r="X2" s="23" t="s">
        <v>7</v>
      </c>
      <c r="Y2" s="11" t="s">
        <v>8</v>
      </c>
      <c r="Z2" s="11" t="s">
        <v>9</v>
      </c>
      <c r="AA2" s="11" t="s">
        <v>10</v>
      </c>
      <c r="AB2" s="11" t="s">
        <v>14</v>
      </c>
      <c r="AC2" s="12" t="s">
        <v>12</v>
      </c>
      <c r="AD2" s="16" t="s">
        <v>7</v>
      </c>
      <c r="AE2" s="23" t="s">
        <v>7</v>
      </c>
      <c r="AF2" s="11" t="s">
        <v>8</v>
      </c>
      <c r="AG2" s="11" t="s">
        <v>9</v>
      </c>
      <c r="AH2" s="11" t="s">
        <v>10</v>
      </c>
      <c r="AI2" s="11" t="s">
        <v>14</v>
      </c>
      <c r="AJ2" s="12" t="s">
        <v>12</v>
      </c>
      <c r="AK2" s="16" t="s">
        <v>7</v>
      </c>
      <c r="AL2" s="23" t="s">
        <v>7</v>
      </c>
      <c r="AM2" s="11" t="s">
        <v>8</v>
      </c>
      <c r="AN2" s="11" t="s">
        <v>9</v>
      </c>
      <c r="AO2" s="11" t="s">
        <v>10</v>
      </c>
      <c r="AP2" s="11" t="s">
        <v>14</v>
      </c>
      <c r="AQ2" s="12" t="s">
        <v>12</v>
      </c>
      <c r="AR2" s="26" t="s">
        <v>15</v>
      </c>
      <c r="AS2" s="16" t="s">
        <v>7</v>
      </c>
      <c r="AU2" s="23" t="s">
        <v>7</v>
      </c>
      <c r="AV2" s="11" t="s">
        <v>8</v>
      </c>
      <c r="AW2" s="11" t="s">
        <v>9</v>
      </c>
      <c r="AX2" s="11" t="s">
        <v>10</v>
      </c>
      <c r="AY2" s="11" t="s">
        <v>14</v>
      </c>
      <c r="AZ2" s="12" t="s">
        <v>12</v>
      </c>
      <c r="BA2" s="16" t="s">
        <v>7</v>
      </c>
      <c r="BB2" s="23" t="s">
        <v>7</v>
      </c>
      <c r="BC2" s="11" t="s">
        <v>8</v>
      </c>
      <c r="BD2" s="11" t="s">
        <v>9</v>
      </c>
      <c r="BE2" s="11" t="s">
        <v>10</v>
      </c>
      <c r="BF2" s="11" t="s">
        <v>14</v>
      </c>
      <c r="BG2" s="12" t="s">
        <v>12</v>
      </c>
      <c r="BH2" s="16" t="s">
        <v>7</v>
      </c>
      <c r="BI2" s="23" t="s">
        <v>7</v>
      </c>
      <c r="BJ2" s="11" t="s">
        <v>8</v>
      </c>
      <c r="BK2" s="11" t="s">
        <v>9</v>
      </c>
      <c r="BL2" s="11" t="s">
        <v>10</v>
      </c>
      <c r="BM2" s="11" t="s">
        <v>14</v>
      </c>
      <c r="BN2" s="12" t="s">
        <v>12</v>
      </c>
      <c r="BO2" s="16" t="s">
        <v>7</v>
      </c>
      <c r="BP2" s="23" t="s">
        <v>7</v>
      </c>
      <c r="BQ2" s="11" t="s">
        <v>8</v>
      </c>
      <c r="BR2" s="11" t="s">
        <v>9</v>
      </c>
      <c r="BS2" s="11" t="s">
        <v>10</v>
      </c>
      <c r="BT2" s="11" t="s">
        <v>14</v>
      </c>
      <c r="BU2" s="12" t="s">
        <v>12</v>
      </c>
      <c r="BV2" s="16" t="s">
        <v>7</v>
      </c>
      <c r="BW2" s="23" t="s">
        <v>7</v>
      </c>
      <c r="BX2" s="11" t="s">
        <v>8</v>
      </c>
      <c r="BY2" s="11" t="s">
        <v>9</v>
      </c>
      <c r="BZ2" s="11" t="s">
        <v>10</v>
      </c>
      <c r="CA2" s="11" t="s">
        <v>14</v>
      </c>
      <c r="CB2" s="12" t="s">
        <v>12</v>
      </c>
      <c r="CC2" s="16" t="s">
        <v>7</v>
      </c>
      <c r="CD2" s="23" t="s">
        <v>7</v>
      </c>
      <c r="CE2" s="11" t="s">
        <v>8</v>
      </c>
      <c r="CF2" s="11" t="s">
        <v>9</v>
      </c>
      <c r="CG2" s="11" t="s">
        <v>10</v>
      </c>
      <c r="CH2" s="11" t="s">
        <v>14</v>
      </c>
      <c r="CI2" s="12" t="s">
        <v>12</v>
      </c>
      <c r="CJ2" s="16" t="s">
        <v>7</v>
      </c>
      <c r="CL2" s="3" t="s">
        <v>16</v>
      </c>
      <c r="CN2" s="3" t="s">
        <v>17</v>
      </c>
      <c r="CP2" s="3" t="s">
        <v>88</v>
      </c>
      <c r="CQ2" s="3" t="s">
        <v>43</v>
      </c>
      <c r="CR2" s="3" t="s">
        <v>89</v>
      </c>
      <c r="CS2" s="40" t="s">
        <v>90</v>
      </c>
      <c r="CT2" s="3" t="s">
        <v>18</v>
      </c>
      <c r="CU2" s="3" t="s">
        <v>77</v>
      </c>
      <c r="CV2" s="3" t="s">
        <v>13</v>
      </c>
      <c r="CW2" s="3" t="s">
        <v>70</v>
      </c>
    </row>
    <row r="3" spans="1:102">
      <c r="A3" s="3">
        <v>1</v>
      </c>
      <c r="B3" s="5" t="s">
        <v>19</v>
      </c>
      <c r="C3" s="7">
        <f>'2017'!CL3</f>
        <v>135928</v>
      </c>
      <c r="D3" s="6">
        <f>H3-(E3+F3+G3)</f>
        <v>62820</v>
      </c>
      <c r="E3" s="6">
        <f>MROUND(((C3*0.5)/100),1)</f>
        <v>680</v>
      </c>
      <c r="F3" s="6">
        <v>500</v>
      </c>
      <c r="G3" s="6">
        <v>0</v>
      </c>
      <c r="H3" s="6">
        <v>64000</v>
      </c>
      <c r="I3" s="21"/>
      <c r="J3" s="21">
        <f>C3-D3+I3</f>
        <v>73108</v>
      </c>
      <c r="K3" s="6">
        <f>O3-(L3+M3+N3)</f>
        <v>10134</v>
      </c>
      <c r="L3" s="6">
        <f>MROUND(((J3*0.5)/100),1)</f>
        <v>366</v>
      </c>
      <c r="M3" s="6">
        <v>500</v>
      </c>
      <c r="N3" s="6">
        <v>0</v>
      </c>
      <c r="O3" s="6">
        <v>11000</v>
      </c>
      <c r="P3" s="6"/>
      <c r="Q3" s="21">
        <f>J3-K3+P3</f>
        <v>62974</v>
      </c>
      <c r="R3" s="6">
        <f>V3-(S3+T3+U3)</f>
        <v>11185</v>
      </c>
      <c r="S3" s="6">
        <f>MROUND(((Q3*0.5)/100),1)</f>
        <v>315</v>
      </c>
      <c r="T3" s="6">
        <v>500</v>
      </c>
      <c r="U3" s="6">
        <v>0</v>
      </c>
      <c r="V3" s="6">
        <v>12000</v>
      </c>
      <c r="W3" s="6">
        <v>13770</v>
      </c>
      <c r="X3" s="21">
        <f>Q3-R3+W3</f>
        <v>65559</v>
      </c>
      <c r="Y3" s="6">
        <f>AC3-(Z3+AA3+AB3)</f>
        <v>4672</v>
      </c>
      <c r="Z3" s="6">
        <f>MROUND(((X3*0.5)/100),1)</f>
        <v>328</v>
      </c>
      <c r="AA3" s="6">
        <v>5000</v>
      </c>
      <c r="AB3" s="6">
        <v>0</v>
      </c>
      <c r="AC3" s="6">
        <v>10000</v>
      </c>
      <c r="AD3" s="6"/>
      <c r="AE3" s="21">
        <f>X3-Y3+AD3</f>
        <v>60887</v>
      </c>
      <c r="AF3" s="6">
        <f>AJ3-(AG3+AH3+AI3)</f>
        <v>4696</v>
      </c>
      <c r="AG3" s="6">
        <f>MROUND(((AE3*0.5)/100),1)</f>
        <v>304</v>
      </c>
      <c r="AH3" s="6">
        <v>5000</v>
      </c>
      <c r="AI3" s="6">
        <v>0</v>
      </c>
      <c r="AJ3" s="6">
        <v>10000</v>
      </c>
      <c r="AK3" s="6"/>
      <c r="AL3" s="21">
        <f>AE3-AF3+AK3</f>
        <v>56191</v>
      </c>
      <c r="AM3" s="6">
        <f>AQ3-(AN3+AO3+AP3)</f>
        <v>4719</v>
      </c>
      <c r="AN3" s="6">
        <f>MROUND(((AL3*0.5)/100),1)</f>
        <v>281</v>
      </c>
      <c r="AO3" s="6">
        <v>5000</v>
      </c>
      <c r="AP3" s="6">
        <v>0</v>
      </c>
      <c r="AQ3" s="6">
        <v>10000</v>
      </c>
      <c r="AR3" s="6">
        <v>10000</v>
      </c>
      <c r="AS3" s="6">
        <v>0</v>
      </c>
      <c r="AU3" s="21">
        <f>AL3-AM3+AS3</f>
        <v>51472</v>
      </c>
      <c r="AV3" s="6">
        <f>AZ3-(AW3+AX3+AY3)</f>
        <v>14743</v>
      </c>
      <c r="AW3" s="6">
        <f>MROUND(((AU3*0.5)/100),1)</f>
        <v>257</v>
      </c>
      <c r="AX3" s="6">
        <v>5000</v>
      </c>
      <c r="AY3" s="6">
        <v>0</v>
      </c>
      <c r="AZ3" s="6">
        <v>20000</v>
      </c>
      <c r="BA3" s="6">
        <v>20000</v>
      </c>
      <c r="BB3" s="21">
        <f>AU3-AV3+BA3</f>
        <v>56729</v>
      </c>
      <c r="BC3" s="6">
        <f>BG3-(BD3+BE3+BF3)</f>
        <v>8716</v>
      </c>
      <c r="BD3" s="6">
        <f>MROUND(((BB3*0.5)/100),1)</f>
        <v>284</v>
      </c>
      <c r="BE3" s="6">
        <v>5000</v>
      </c>
      <c r="BF3" s="6">
        <v>1000</v>
      </c>
      <c r="BG3" s="6">
        <v>15000</v>
      </c>
      <c r="BH3" s="6"/>
      <c r="BI3" s="21">
        <f>BB3-BC3+BH3</f>
        <v>48013</v>
      </c>
      <c r="BJ3" s="6">
        <f>BN3-(BK3+BL3+BM3)</f>
        <v>7760</v>
      </c>
      <c r="BK3" s="6">
        <f>MROUND(((BI3*0.5)/100),1)</f>
        <v>240</v>
      </c>
      <c r="BL3" s="6">
        <v>5000</v>
      </c>
      <c r="BM3" s="6">
        <v>1000</v>
      </c>
      <c r="BN3" s="6">
        <v>14000</v>
      </c>
      <c r="BO3" s="6"/>
      <c r="BP3" s="21">
        <f>BI3-BJ3+BO3</f>
        <v>40253</v>
      </c>
      <c r="BQ3" s="6">
        <f>BU3-(BR3+BS3+BT3)</f>
        <v>7799</v>
      </c>
      <c r="BR3" s="6">
        <f>MROUND(((BP3*0.5)/100),1)</f>
        <v>201</v>
      </c>
      <c r="BS3" s="6">
        <v>5000</v>
      </c>
      <c r="BT3" s="6">
        <v>1000</v>
      </c>
      <c r="BU3" s="21">
        <v>14000</v>
      </c>
      <c r="BV3" s="6"/>
      <c r="BW3" s="21">
        <f>BP3-BQ3+BV3</f>
        <v>32454</v>
      </c>
      <c r="BX3" s="6">
        <f>CB3-(BY3+BZ3+CA3)</f>
        <v>338</v>
      </c>
      <c r="BY3" s="6">
        <f>MROUND(((BW3*0.5)/100),1)</f>
        <v>162</v>
      </c>
      <c r="BZ3" s="6">
        <v>5000</v>
      </c>
      <c r="CA3" s="6">
        <v>1000</v>
      </c>
      <c r="CB3" s="6">
        <v>6500</v>
      </c>
      <c r="CC3" s="6">
        <v>50000</v>
      </c>
      <c r="CD3" s="21">
        <f>BW3-BX3+CC3</f>
        <v>82116</v>
      </c>
      <c r="CE3" s="6">
        <f>CI3-(CF3+CG3+CH3)</f>
        <v>6589</v>
      </c>
      <c r="CF3" s="6">
        <f>MROUND(((CD3*0.5)/100),1)</f>
        <v>411</v>
      </c>
      <c r="CG3" s="6">
        <v>5000</v>
      </c>
      <c r="CH3" s="6">
        <v>1000</v>
      </c>
      <c r="CI3" s="6">
        <v>13000</v>
      </c>
      <c r="CJ3" s="6"/>
      <c r="CK3" s="5" t="s">
        <v>19</v>
      </c>
      <c r="CL3" s="14">
        <f>CD3-CE3+CJ3</f>
        <v>75527</v>
      </c>
      <c r="CM3" s="14">
        <v>75475</v>
      </c>
      <c r="CN3" s="14">
        <v>0</v>
      </c>
      <c r="CO3" s="14">
        <v>10000</v>
      </c>
      <c r="CP3" s="14">
        <f>'2017'!CS3</f>
        <v>103722</v>
      </c>
      <c r="CQ3" s="14">
        <f>CP3+F3+M3+T3+AA3+AH3+AO3+AX3+BE3+BL3+BS3+BZ3+CG3-50000</f>
        <v>100222</v>
      </c>
      <c r="CR3" s="3">
        <f>MROUND((CQ3*$M$41)/$M$34,1)</f>
        <v>2979</v>
      </c>
      <c r="CS3" s="41">
        <f>CQ3+CR3</f>
        <v>103201</v>
      </c>
      <c r="CT3" s="14">
        <v>78017</v>
      </c>
      <c r="CU3" s="14">
        <v>2327</v>
      </c>
      <c r="CV3" s="14">
        <v>0</v>
      </c>
      <c r="CW3" s="14">
        <v>0</v>
      </c>
      <c r="CX3" s="14">
        <v>45000</v>
      </c>
    </row>
    <row r="4" spans="1:102">
      <c r="A4" s="3">
        <v>2</v>
      </c>
      <c r="B4" s="5" t="s">
        <v>21</v>
      </c>
      <c r="C4" s="7">
        <f>'2017'!CL4</f>
        <v>43153</v>
      </c>
      <c r="D4" s="6">
        <f t="shared" ref="D4:D25" si="0">H4-(E4+F4+G4)</f>
        <v>1784</v>
      </c>
      <c r="E4" s="6">
        <f t="shared" ref="E4:E23" si="1">MROUND(((C4*0.5)/100),1)</f>
        <v>216</v>
      </c>
      <c r="F4" s="6">
        <v>500</v>
      </c>
      <c r="G4" s="6">
        <v>1500</v>
      </c>
      <c r="H4" s="6">
        <v>4000</v>
      </c>
      <c r="I4" s="21"/>
      <c r="J4" s="21">
        <f t="shared" ref="J4:J25" si="2">C4-D4+I4</f>
        <v>41369</v>
      </c>
      <c r="K4" s="6">
        <f t="shared" ref="K4:K25" si="3">O4-(L4+M4+N4)</f>
        <v>1793</v>
      </c>
      <c r="L4" s="6">
        <f>MROUND(((J4*0.5)/100),1)</f>
        <v>207</v>
      </c>
      <c r="M4" s="6">
        <v>500</v>
      </c>
      <c r="N4" s="6">
        <v>1500</v>
      </c>
      <c r="O4" s="6">
        <v>4000</v>
      </c>
      <c r="P4" s="6"/>
      <c r="Q4" s="21">
        <f t="shared" ref="Q4:Q25" si="4">J4-K4+P4</f>
        <v>39576</v>
      </c>
      <c r="R4" s="6">
        <f t="shared" ref="R4:R25" si="5">V4-(S4+T4+U4)</f>
        <v>1802</v>
      </c>
      <c r="S4" s="6">
        <f t="shared" ref="S4:S24" si="6">MROUND(((Q4*0.5)/100),1)</f>
        <v>198</v>
      </c>
      <c r="T4" s="6">
        <v>500</v>
      </c>
      <c r="U4" s="6">
        <v>1500</v>
      </c>
      <c r="V4" s="6">
        <v>4000</v>
      </c>
      <c r="W4" s="6"/>
      <c r="X4" s="21">
        <f t="shared" ref="X4:X25" si="7">Q4-R4+W4</f>
        <v>37774</v>
      </c>
      <c r="Y4" s="6">
        <f t="shared" ref="Y4:Y25" si="8">AC4-(Z4+AA4+AB4)</f>
        <v>1811</v>
      </c>
      <c r="Z4" s="6">
        <f t="shared" ref="Z4:Z24" si="9">MROUND(((X4*0.5)/100),1)</f>
        <v>189</v>
      </c>
      <c r="AA4" s="6">
        <v>500</v>
      </c>
      <c r="AB4" s="6">
        <v>1500</v>
      </c>
      <c r="AC4" s="6">
        <v>4000</v>
      </c>
      <c r="AD4" s="6"/>
      <c r="AE4" s="21">
        <f t="shared" ref="AE4:AE25" si="10">X4-Y4+AD4</f>
        <v>35963</v>
      </c>
      <c r="AF4" s="6">
        <f t="shared" ref="AF4:AF25" si="11">AJ4-(AG4+AH4+AI4)</f>
        <v>1820</v>
      </c>
      <c r="AG4" s="6">
        <f t="shared" ref="AG4:AG24" si="12">MROUND(((AE4*0.5)/100),1)</f>
        <v>180</v>
      </c>
      <c r="AH4" s="6">
        <v>500</v>
      </c>
      <c r="AI4" s="6">
        <v>1500</v>
      </c>
      <c r="AJ4" s="6">
        <v>4000</v>
      </c>
      <c r="AK4" s="6"/>
      <c r="AL4" s="21">
        <f t="shared" ref="AL4:AL25" si="13">AE4-AF4+AK4</f>
        <v>34143</v>
      </c>
      <c r="AM4" s="6">
        <f t="shared" ref="AM4:AM25" si="14">AQ4-(AN4+AO4+AP4)</f>
        <v>3329</v>
      </c>
      <c r="AN4" s="6">
        <f t="shared" ref="AN4:AN24" si="15">MROUND(((AL4*0.5)/100),1)</f>
        <v>171</v>
      </c>
      <c r="AO4" s="6">
        <v>500</v>
      </c>
      <c r="AP4" s="6">
        <v>0</v>
      </c>
      <c r="AQ4" s="6">
        <v>4000</v>
      </c>
      <c r="AR4" s="6">
        <v>0</v>
      </c>
      <c r="AS4" s="6"/>
      <c r="AU4" s="21">
        <f t="shared" ref="AU4:AU25" si="16">AL4-AM4+AS4</f>
        <v>30814</v>
      </c>
      <c r="AV4" s="6">
        <f t="shared" ref="AV4:AV25" si="17">AZ4-(AW4+AX4+AY4)</f>
        <v>3346</v>
      </c>
      <c r="AW4" s="6">
        <f t="shared" ref="AW4:AW23" si="18">MROUND(((AU4*0.5)/100),1)</f>
        <v>154</v>
      </c>
      <c r="AX4" s="6">
        <v>500</v>
      </c>
      <c r="AY4" s="6">
        <v>0</v>
      </c>
      <c r="AZ4" s="6">
        <v>4000</v>
      </c>
      <c r="BA4" s="6"/>
      <c r="BB4" s="21">
        <f t="shared" ref="BB4:BB25" si="19">AU4-AV4+BA4</f>
        <v>27468</v>
      </c>
      <c r="BC4" s="6">
        <f t="shared" ref="BC4:BC25" si="20">BG4-(BD4+BE4+BF4)</f>
        <v>3363</v>
      </c>
      <c r="BD4" s="6">
        <f t="shared" ref="BD4:BD23" si="21">MROUND(((BB4*0.5)/100),1)</f>
        <v>137</v>
      </c>
      <c r="BE4" s="6">
        <v>500</v>
      </c>
      <c r="BF4" s="6">
        <v>1500</v>
      </c>
      <c r="BG4" s="6">
        <v>5500</v>
      </c>
      <c r="BH4" s="6"/>
      <c r="BI4" s="21">
        <f t="shared" ref="BI4:BI24" si="22">BB4-BC4+BH4</f>
        <v>24105</v>
      </c>
      <c r="BJ4" s="6">
        <f t="shared" ref="BJ4:BJ25" si="23">BN4-(BK4+BL4+BM4)</f>
        <v>2879</v>
      </c>
      <c r="BK4" s="6">
        <f t="shared" ref="BK4:BK23" si="24">MROUND(((BI4*0.5)/100),1)</f>
        <v>121</v>
      </c>
      <c r="BL4" s="6">
        <v>500</v>
      </c>
      <c r="BM4" s="6">
        <v>1500</v>
      </c>
      <c r="BN4" s="6">
        <v>5000</v>
      </c>
      <c r="BO4" s="6">
        <v>5000</v>
      </c>
      <c r="BP4" s="21">
        <f t="shared" ref="BP4:BP25" si="25">BI4-BJ4+BO4</f>
        <v>26226</v>
      </c>
      <c r="BQ4" s="6">
        <f t="shared" ref="BQ4:BQ25" si="26">BU4-(BR4+BS4+BT4)</f>
        <v>26226</v>
      </c>
      <c r="BR4" s="6">
        <f t="shared" ref="BR4:BR23" si="27">MROUND(((BP4*0.5)/100),1)</f>
        <v>131</v>
      </c>
      <c r="BS4" s="6">
        <v>500</v>
      </c>
      <c r="BT4" s="6">
        <v>2000</v>
      </c>
      <c r="BU4" s="6">
        <v>28857</v>
      </c>
      <c r="BV4" s="6"/>
      <c r="BW4" s="21">
        <f t="shared" ref="BW4:BW25" si="28">BP4-BQ4+BV4</f>
        <v>0</v>
      </c>
      <c r="BX4" s="6">
        <f t="shared" ref="BX4:BX25" si="29">CB4-(BY4+BZ4+CA4)</f>
        <v>0</v>
      </c>
      <c r="BY4" s="6">
        <f t="shared" ref="BY4:BY23" si="30">MROUND(((BW4*0.5)/100),1)</f>
        <v>0</v>
      </c>
      <c r="BZ4" s="6">
        <v>500</v>
      </c>
      <c r="CA4" s="6">
        <v>2500</v>
      </c>
      <c r="CB4" s="6">
        <v>3000</v>
      </c>
      <c r="CC4" s="6"/>
      <c r="CD4" s="21">
        <f t="shared" ref="CD4:CD25" si="31">BW4-BX4+CC4</f>
        <v>0</v>
      </c>
      <c r="CE4" s="6">
        <f t="shared" ref="CE4:CE25" si="32">CI4-(CF4+CG4+CH4)</f>
        <v>0</v>
      </c>
      <c r="CF4" s="6">
        <f t="shared" ref="CF4:CF24" si="33">MROUND(((CD4*0.5)/100),1)</f>
        <v>0</v>
      </c>
      <c r="CG4" s="6">
        <v>500</v>
      </c>
      <c r="CH4" s="6">
        <v>2500</v>
      </c>
      <c r="CI4" s="6">
        <v>3000</v>
      </c>
      <c r="CJ4" s="6"/>
      <c r="CK4" s="5" t="s">
        <v>21</v>
      </c>
      <c r="CL4" s="14">
        <f t="shared" ref="CL4:CL25" si="34">CD4-CE4+CJ4</f>
        <v>0</v>
      </c>
      <c r="CM4" s="14">
        <v>0</v>
      </c>
      <c r="CN4" s="14">
        <v>0</v>
      </c>
      <c r="CO4" s="14">
        <v>15000</v>
      </c>
      <c r="CP4" s="14">
        <f>'2017'!CS4</f>
        <v>102209</v>
      </c>
      <c r="CQ4" s="14">
        <f>CP4+F4+M4+T4+AA4+AH4+AO4+AX4+BE4+BL4+BS4+BZ4+CG4</f>
        <v>108209</v>
      </c>
      <c r="CR4" s="3">
        <f>MROUND((CQ4*$M$41)/$M$34,1)</f>
        <v>3216</v>
      </c>
      <c r="CS4" s="41">
        <f t="shared" ref="CS4:CS25" si="35">CQ4+CR4</f>
        <v>111425</v>
      </c>
      <c r="CT4" s="14">
        <v>0</v>
      </c>
      <c r="CU4" s="14">
        <v>0</v>
      </c>
      <c r="CV4" s="14">
        <v>0</v>
      </c>
      <c r="CW4" s="14">
        <v>0</v>
      </c>
      <c r="CX4" s="14">
        <v>2000</v>
      </c>
    </row>
    <row r="5" spans="1:102">
      <c r="A5" s="3">
        <v>3</v>
      </c>
      <c r="B5" s="5" t="s">
        <v>22</v>
      </c>
      <c r="C5" s="7">
        <f>'2017'!CL5</f>
        <v>0</v>
      </c>
      <c r="D5" s="6">
        <f t="shared" si="0"/>
        <v>0</v>
      </c>
      <c r="E5" s="6">
        <f t="shared" si="1"/>
        <v>0</v>
      </c>
      <c r="F5" s="6">
        <v>1000</v>
      </c>
      <c r="G5" s="6">
        <v>1000</v>
      </c>
      <c r="H5" s="6">
        <v>2000</v>
      </c>
      <c r="I5" s="21"/>
      <c r="J5" s="21">
        <f t="shared" si="2"/>
        <v>0</v>
      </c>
      <c r="K5" s="6">
        <f t="shared" si="3"/>
        <v>0</v>
      </c>
      <c r="L5" s="6">
        <f t="shared" ref="L5:L23" si="36">MROUND(((J5*0.5)/100),1)</f>
        <v>0</v>
      </c>
      <c r="M5" s="6">
        <v>1000</v>
      </c>
      <c r="N5" s="6">
        <v>1000</v>
      </c>
      <c r="O5" s="6">
        <v>2000</v>
      </c>
      <c r="P5" s="6"/>
      <c r="Q5" s="21">
        <f t="shared" si="4"/>
        <v>0</v>
      </c>
      <c r="R5" s="6">
        <f t="shared" si="5"/>
        <v>0</v>
      </c>
      <c r="S5" s="6">
        <f t="shared" si="6"/>
        <v>0</v>
      </c>
      <c r="T5" s="6">
        <v>1000</v>
      </c>
      <c r="U5" s="6">
        <v>1000</v>
      </c>
      <c r="V5" s="6">
        <v>2000</v>
      </c>
      <c r="W5" s="6">
        <v>50000</v>
      </c>
      <c r="X5" s="21">
        <f t="shared" si="7"/>
        <v>50000</v>
      </c>
      <c r="Y5" s="6">
        <f t="shared" si="8"/>
        <v>2250</v>
      </c>
      <c r="Z5" s="6">
        <f t="shared" si="9"/>
        <v>250</v>
      </c>
      <c r="AA5" s="6">
        <v>1000</v>
      </c>
      <c r="AB5" s="6">
        <v>1000</v>
      </c>
      <c r="AC5" s="6">
        <v>4500</v>
      </c>
      <c r="AD5" s="6"/>
      <c r="AE5" s="21">
        <f t="shared" si="10"/>
        <v>47750</v>
      </c>
      <c r="AF5" s="6">
        <f t="shared" si="11"/>
        <v>2261</v>
      </c>
      <c r="AG5" s="6">
        <f t="shared" si="12"/>
        <v>239</v>
      </c>
      <c r="AH5" s="6">
        <v>1000</v>
      </c>
      <c r="AI5" s="6">
        <v>1000</v>
      </c>
      <c r="AJ5" s="6">
        <v>4500</v>
      </c>
      <c r="AK5" s="6"/>
      <c r="AL5" s="21">
        <f t="shared" si="13"/>
        <v>45489</v>
      </c>
      <c r="AM5" s="6">
        <f t="shared" si="14"/>
        <v>2273</v>
      </c>
      <c r="AN5" s="6">
        <f t="shared" si="15"/>
        <v>227</v>
      </c>
      <c r="AO5" s="6">
        <v>1000</v>
      </c>
      <c r="AP5" s="6">
        <v>0</v>
      </c>
      <c r="AQ5" s="6">
        <v>3500</v>
      </c>
      <c r="AR5" s="6">
        <v>0</v>
      </c>
      <c r="AS5" s="6"/>
      <c r="AU5" s="21">
        <f t="shared" si="16"/>
        <v>43216</v>
      </c>
      <c r="AV5" s="6">
        <f t="shared" si="17"/>
        <v>2284</v>
      </c>
      <c r="AW5" s="6">
        <f t="shared" si="18"/>
        <v>216</v>
      </c>
      <c r="AX5" s="6">
        <v>1000</v>
      </c>
      <c r="AY5" s="6">
        <v>0</v>
      </c>
      <c r="AZ5" s="6">
        <v>3500</v>
      </c>
      <c r="BA5" s="6"/>
      <c r="BB5" s="21">
        <f t="shared" si="19"/>
        <v>40932</v>
      </c>
      <c r="BC5" s="6">
        <f t="shared" si="20"/>
        <v>7795</v>
      </c>
      <c r="BD5" s="6">
        <f t="shared" si="21"/>
        <v>205</v>
      </c>
      <c r="BE5" s="6">
        <v>1000</v>
      </c>
      <c r="BF5" s="6">
        <v>1000</v>
      </c>
      <c r="BG5" s="6">
        <v>10000</v>
      </c>
      <c r="BH5" s="6"/>
      <c r="BI5" s="21">
        <f t="shared" si="22"/>
        <v>33137</v>
      </c>
      <c r="BJ5" s="6">
        <f t="shared" si="23"/>
        <v>2834</v>
      </c>
      <c r="BK5" s="6">
        <f t="shared" si="24"/>
        <v>166</v>
      </c>
      <c r="BL5" s="6">
        <v>1000</v>
      </c>
      <c r="BM5" s="6">
        <v>1000</v>
      </c>
      <c r="BN5" s="6">
        <v>5000</v>
      </c>
      <c r="BO5" s="6"/>
      <c r="BP5" s="21">
        <f t="shared" si="25"/>
        <v>30303</v>
      </c>
      <c r="BQ5" s="6">
        <f t="shared" si="26"/>
        <v>3848</v>
      </c>
      <c r="BR5" s="6">
        <f t="shared" si="27"/>
        <v>152</v>
      </c>
      <c r="BS5" s="6">
        <v>1000</v>
      </c>
      <c r="BT5" s="6">
        <v>1000</v>
      </c>
      <c r="BU5" s="6">
        <v>6000</v>
      </c>
      <c r="BV5" s="6"/>
      <c r="BW5" s="21">
        <f t="shared" si="28"/>
        <v>26455</v>
      </c>
      <c r="BX5" s="6">
        <f t="shared" si="29"/>
        <v>1868</v>
      </c>
      <c r="BY5" s="6">
        <f t="shared" si="30"/>
        <v>132</v>
      </c>
      <c r="BZ5" s="6">
        <v>1000</v>
      </c>
      <c r="CA5" s="6">
        <v>1000</v>
      </c>
      <c r="CB5" s="6">
        <v>4000</v>
      </c>
      <c r="CC5" s="6"/>
      <c r="CD5" s="21">
        <f t="shared" si="31"/>
        <v>24587</v>
      </c>
      <c r="CE5" s="6">
        <f t="shared" si="32"/>
        <v>24587</v>
      </c>
      <c r="CF5" s="6">
        <f t="shared" si="33"/>
        <v>123</v>
      </c>
      <c r="CG5" s="6">
        <v>1040</v>
      </c>
      <c r="CH5" s="6">
        <v>1000</v>
      </c>
      <c r="CI5" s="6">
        <v>26750</v>
      </c>
      <c r="CJ5" s="6"/>
      <c r="CK5" s="5" t="s">
        <v>22</v>
      </c>
      <c r="CL5" s="14">
        <f t="shared" si="34"/>
        <v>0</v>
      </c>
      <c r="CM5" s="14">
        <v>0</v>
      </c>
      <c r="CN5" s="14">
        <v>5000</v>
      </c>
      <c r="CO5" s="14">
        <v>5000</v>
      </c>
      <c r="CP5" s="14">
        <f>'2017'!CS5</f>
        <v>66674</v>
      </c>
      <c r="CQ5" s="14">
        <f>CP5+F5+M5+T5+AA5+AH5+AO5+AX5+BE5+BL5+BS5+BZ5+CG5</f>
        <v>78714</v>
      </c>
      <c r="CR5" s="3">
        <f t="shared" ref="CR5:CR25" si="37">MROUND((CQ5*$M$41)/$M$34,1)</f>
        <v>2340</v>
      </c>
      <c r="CS5" s="41">
        <f t="shared" si="35"/>
        <v>81054</v>
      </c>
      <c r="CT5" s="14">
        <v>0</v>
      </c>
      <c r="CU5" s="14">
        <v>0</v>
      </c>
      <c r="CV5" s="14">
        <v>0</v>
      </c>
      <c r="CW5" s="14">
        <v>0</v>
      </c>
      <c r="CX5" s="14">
        <v>18000</v>
      </c>
    </row>
    <row r="6" spans="1:102">
      <c r="A6" s="3">
        <v>4</v>
      </c>
      <c r="B6" s="5" t="s">
        <v>23</v>
      </c>
      <c r="C6" s="7">
        <f>'2017'!CL6</f>
        <v>177385</v>
      </c>
      <c r="D6" s="6">
        <f t="shared" si="0"/>
        <v>157113</v>
      </c>
      <c r="E6" s="6">
        <f t="shared" si="1"/>
        <v>887</v>
      </c>
      <c r="F6" s="6">
        <v>500</v>
      </c>
      <c r="G6" s="6">
        <v>1500</v>
      </c>
      <c r="H6" s="6">
        <v>160000</v>
      </c>
      <c r="I6" s="21"/>
      <c r="J6" s="21">
        <f t="shared" si="2"/>
        <v>20272</v>
      </c>
      <c r="K6" s="6">
        <f t="shared" si="3"/>
        <v>19899</v>
      </c>
      <c r="L6" s="6">
        <f t="shared" si="36"/>
        <v>101</v>
      </c>
      <c r="M6" s="6">
        <v>500</v>
      </c>
      <c r="N6" s="6">
        <v>1500</v>
      </c>
      <c r="O6" s="6">
        <v>22000</v>
      </c>
      <c r="P6" s="6"/>
      <c r="Q6" s="21">
        <f t="shared" si="4"/>
        <v>373</v>
      </c>
      <c r="R6" s="6">
        <f t="shared" si="5"/>
        <v>373</v>
      </c>
      <c r="S6" s="6">
        <f t="shared" si="6"/>
        <v>2</v>
      </c>
      <c r="T6" s="6">
        <v>525</v>
      </c>
      <c r="U6" s="6">
        <v>1500</v>
      </c>
      <c r="V6" s="6">
        <v>2400</v>
      </c>
      <c r="W6" s="6"/>
      <c r="X6" s="21">
        <f t="shared" si="7"/>
        <v>0</v>
      </c>
      <c r="Y6" s="6">
        <f t="shared" si="8"/>
        <v>0</v>
      </c>
      <c r="Z6" s="6">
        <f t="shared" si="9"/>
        <v>0</v>
      </c>
      <c r="AA6" s="6">
        <v>500</v>
      </c>
      <c r="AB6" s="6">
        <v>1500</v>
      </c>
      <c r="AC6" s="6">
        <v>2000</v>
      </c>
      <c r="AD6" s="6"/>
      <c r="AE6" s="21">
        <f t="shared" si="10"/>
        <v>0</v>
      </c>
      <c r="AF6" s="6">
        <f t="shared" si="11"/>
        <v>0</v>
      </c>
      <c r="AG6" s="6">
        <f t="shared" si="12"/>
        <v>0</v>
      </c>
      <c r="AH6" s="6">
        <v>500</v>
      </c>
      <c r="AI6" s="6">
        <v>1500</v>
      </c>
      <c r="AJ6" s="6">
        <v>2000</v>
      </c>
      <c r="AK6" s="6"/>
      <c r="AL6" s="21">
        <f t="shared" si="13"/>
        <v>0</v>
      </c>
      <c r="AM6" s="6">
        <f t="shared" si="14"/>
        <v>0</v>
      </c>
      <c r="AN6" s="6">
        <f t="shared" si="15"/>
        <v>0</v>
      </c>
      <c r="AO6" s="6">
        <v>500</v>
      </c>
      <c r="AP6" s="6">
        <v>0</v>
      </c>
      <c r="AQ6" s="6">
        <v>500</v>
      </c>
      <c r="AR6" s="6">
        <v>0</v>
      </c>
      <c r="AS6" s="6"/>
      <c r="AU6" s="21">
        <f t="shared" si="16"/>
        <v>0</v>
      </c>
      <c r="AV6" s="6">
        <f t="shared" si="17"/>
        <v>0</v>
      </c>
      <c r="AW6" s="6">
        <f t="shared" si="18"/>
        <v>0</v>
      </c>
      <c r="AX6" s="6">
        <v>500</v>
      </c>
      <c r="AY6" s="6">
        <v>0</v>
      </c>
      <c r="AZ6" s="6">
        <v>500</v>
      </c>
      <c r="BA6" s="6"/>
      <c r="BB6" s="21">
        <f t="shared" si="19"/>
        <v>0</v>
      </c>
      <c r="BC6" s="6">
        <f t="shared" si="20"/>
        <v>0</v>
      </c>
      <c r="BD6" s="6">
        <f t="shared" si="21"/>
        <v>0</v>
      </c>
      <c r="BE6" s="6">
        <v>500</v>
      </c>
      <c r="BF6" s="6">
        <v>1000</v>
      </c>
      <c r="BG6" s="6">
        <v>1500</v>
      </c>
      <c r="BH6" s="6"/>
      <c r="BI6" s="21">
        <f t="shared" si="22"/>
        <v>0</v>
      </c>
      <c r="BJ6" s="6">
        <f t="shared" si="23"/>
        <v>0</v>
      </c>
      <c r="BK6" s="6">
        <f t="shared" si="24"/>
        <v>0</v>
      </c>
      <c r="BL6" s="6">
        <v>500</v>
      </c>
      <c r="BM6" s="6">
        <v>1000</v>
      </c>
      <c r="BN6" s="6">
        <v>1500</v>
      </c>
      <c r="BO6" s="6"/>
      <c r="BP6" s="21">
        <f t="shared" si="25"/>
        <v>0</v>
      </c>
      <c r="BQ6" s="6">
        <f t="shared" si="26"/>
        <v>0</v>
      </c>
      <c r="BR6" s="6">
        <f t="shared" si="27"/>
        <v>0</v>
      </c>
      <c r="BS6" s="6">
        <v>500</v>
      </c>
      <c r="BT6" s="6">
        <v>1000</v>
      </c>
      <c r="BU6" s="6">
        <v>1500</v>
      </c>
      <c r="BV6" s="6"/>
      <c r="BW6" s="21">
        <f t="shared" si="28"/>
        <v>0</v>
      </c>
      <c r="BX6" s="6">
        <f t="shared" si="29"/>
        <v>0</v>
      </c>
      <c r="BY6" s="6">
        <f t="shared" si="30"/>
        <v>0</v>
      </c>
      <c r="BZ6" s="6">
        <v>500</v>
      </c>
      <c r="CA6" s="6">
        <v>1000</v>
      </c>
      <c r="CB6" s="6">
        <v>1500</v>
      </c>
      <c r="CC6" s="6"/>
      <c r="CD6" s="21">
        <f t="shared" si="31"/>
        <v>0</v>
      </c>
      <c r="CE6" s="6">
        <f t="shared" si="32"/>
        <v>0</v>
      </c>
      <c r="CF6" s="6">
        <f t="shared" si="33"/>
        <v>0</v>
      </c>
      <c r="CG6" s="6">
        <v>500</v>
      </c>
      <c r="CH6" s="6">
        <v>1000</v>
      </c>
      <c r="CI6" s="6">
        <v>1500</v>
      </c>
      <c r="CJ6" s="6"/>
      <c r="CK6" s="5" t="s">
        <v>23</v>
      </c>
      <c r="CL6" s="14">
        <f t="shared" si="34"/>
        <v>0</v>
      </c>
      <c r="CM6" s="14">
        <v>0</v>
      </c>
      <c r="CN6" s="14">
        <v>5000</v>
      </c>
      <c r="CO6" s="14">
        <v>5000</v>
      </c>
      <c r="CP6" s="14">
        <f>'2017'!CS6</f>
        <v>102231</v>
      </c>
      <c r="CQ6" s="14">
        <f>CP6+F6+M6+T6+AA6+AH6+AO6+AX6+BE6+BL6+BS6+BZ6+CG6-50000</f>
        <v>58256</v>
      </c>
      <c r="CR6" s="3">
        <f t="shared" si="37"/>
        <v>1732</v>
      </c>
      <c r="CS6" s="41">
        <f t="shared" si="35"/>
        <v>59988</v>
      </c>
      <c r="CT6" s="14">
        <v>156887</v>
      </c>
      <c r="CU6" s="14">
        <v>2613</v>
      </c>
      <c r="CV6" s="14">
        <v>157500</v>
      </c>
      <c r="CW6" s="14">
        <v>613</v>
      </c>
      <c r="CX6" s="14">
        <v>6000</v>
      </c>
    </row>
    <row r="7" spans="1:102">
      <c r="A7" s="3">
        <v>5</v>
      </c>
      <c r="B7" s="5" t="s">
        <v>24</v>
      </c>
      <c r="C7" s="7">
        <f>'2017'!CL7</f>
        <v>41816</v>
      </c>
      <c r="D7" s="6">
        <f t="shared" si="0"/>
        <v>3791</v>
      </c>
      <c r="E7" s="6">
        <f t="shared" si="1"/>
        <v>209</v>
      </c>
      <c r="F7" s="6">
        <v>1000</v>
      </c>
      <c r="G7" s="6">
        <v>1000</v>
      </c>
      <c r="H7" s="6">
        <v>6000</v>
      </c>
      <c r="I7" s="21"/>
      <c r="J7" s="21">
        <f t="shared" si="2"/>
        <v>38025</v>
      </c>
      <c r="K7" s="6">
        <f t="shared" si="3"/>
        <v>3810</v>
      </c>
      <c r="L7" s="6">
        <f t="shared" si="36"/>
        <v>190</v>
      </c>
      <c r="M7" s="6">
        <v>1000</v>
      </c>
      <c r="N7" s="6">
        <v>1000</v>
      </c>
      <c r="O7" s="6">
        <v>6000</v>
      </c>
      <c r="P7" s="6"/>
      <c r="Q7" s="21">
        <f t="shared" si="4"/>
        <v>34215</v>
      </c>
      <c r="R7" s="6">
        <f t="shared" si="5"/>
        <v>3829</v>
      </c>
      <c r="S7" s="6">
        <f t="shared" si="6"/>
        <v>171</v>
      </c>
      <c r="T7" s="6">
        <v>1000</v>
      </c>
      <c r="U7" s="6">
        <v>1000</v>
      </c>
      <c r="V7" s="6">
        <v>6000</v>
      </c>
      <c r="W7" s="6"/>
      <c r="X7" s="21">
        <f t="shared" si="7"/>
        <v>30386</v>
      </c>
      <c r="Y7" s="6">
        <f t="shared" si="8"/>
        <v>3848</v>
      </c>
      <c r="Z7" s="6">
        <f t="shared" si="9"/>
        <v>152</v>
      </c>
      <c r="AA7" s="6">
        <v>1000</v>
      </c>
      <c r="AB7" s="6">
        <v>1000</v>
      </c>
      <c r="AC7" s="6">
        <v>6000</v>
      </c>
      <c r="AD7" s="6"/>
      <c r="AE7" s="21">
        <f t="shared" si="10"/>
        <v>26538</v>
      </c>
      <c r="AF7" s="6">
        <f t="shared" si="11"/>
        <v>3867</v>
      </c>
      <c r="AG7" s="6">
        <f t="shared" si="12"/>
        <v>133</v>
      </c>
      <c r="AH7" s="6">
        <v>1000</v>
      </c>
      <c r="AI7" s="6">
        <v>1000</v>
      </c>
      <c r="AJ7" s="6">
        <v>6000</v>
      </c>
      <c r="AK7" s="6"/>
      <c r="AL7" s="21">
        <f t="shared" si="13"/>
        <v>22671</v>
      </c>
      <c r="AM7" s="6">
        <f t="shared" si="14"/>
        <v>4887</v>
      </c>
      <c r="AN7" s="6">
        <f t="shared" si="15"/>
        <v>113</v>
      </c>
      <c r="AO7" s="6">
        <v>1000</v>
      </c>
      <c r="AP7" s="6">
        <v>0</v>
      </c>
      <c r="AQ7" s="6">
        <v>6000</v>
      </c>
      <c r="AR7" s="6">
        <v>0</v>
      </c>
      <c r="AS7" s="6"/>
      <c r="AU7" s="21">
        <f t="shared" si="16"/>
        <v>17784</v>
      </c>
      <c r="AV7" s="6">
        <f t="shared" si="17"/>
        <v>2911</v>
      </c>
      <c r="AW7" s="6">
        <f t="shared" si="18"/>
        <v>89</v>
      </c>
      <c r="AX7" s="6">
        <v>1000</v>
      </c>
      <c r="AY7" s="6">
        <v>0</v>
      </c>
      <c r="AZ7" s="6">
        <v>4000</v>
      </c>
      <c r="BA7" s="6"/>
      <c r="BB7" s="21">
        <f t="shared" si="19"/>
        <v>14873</v>
      </c>
      <c r="BC7" s="6">
        <f t="shared" si="20"/>
        <v>1926</v>
      </c>
      <c r="BD7" s="6">
        <f t="shared" si="21"/>
        <v>74</v>
      </c>
      <c r="BE7" s="6">
        <v>1000</v>
      </c>
      <c r="BF7" s="6">
        <v>1000</v>
      </c>
      <c r="BG7" s="6">
        <v>4000</v>
      </c>
      <c r="BH7" s="6"/>
      <c r="BI7" s="21">
        <f t="shared" si="22"/>
        <v>12947</v>
      </c>
      <c r="BJ7" s="6">
        <f t="shared" si="23"/>
        <v>1935</v>
      </c>
      <c r="BK7" s="6">
        <f t="shared" si="24"/>
        <v>65</v>
      </c>
      <c r="BL7" s="6">
        <v>1000</v>
      </c>
      <c r="BM7" s="6">
        <v>1000</v>
      </c>
      <c r="BN7" s="6">
        <v>4000</v>
      </c>
      <c r="BO7" s="6">
        <v>25000</v>
      </c>
      <c r="BP7" s="21">
        <f t="shared" si="25"/>
        <v>36012</v>
      </c>
      <c r="BQ7" s="6">
        <f t="shared" si="26"/>
        <v>3820</v>
      </c>
      <c r="BR7" s="6">
        <f t="shared" si="27"/>
        <v>180</v>
      </c>
      <c r="BS7" s="6">
        <v>1000</v>
      </c>
      <c r="BT7" s="6">
        <v>1000</v>
      </c>
      <c r="BU7" s="6">
        <v>6000</v>
      </c>
      <c r="BV7" s="6">
        <v>25000</v>
      </c>
      <c r="BW7" s="21">
        <f t="shared" si="28"/>
        <v>57192</v>
      </c>
      <c r="BX7" s="6">
        <f t="shared" si="29"/>
        <v>3714</v>
      </c>
      <c r="BY7" s="6">
        <f t="shared" si="30"/>
        <v>286</v>
      </c>
      <c r="BZ7" s="6">
        <v>1000</v>
      </c>
      <c r="CA7" s="6">
        <v>1000</v>
      </c>
      <c r="CB7" s="6">
        <v>6000</v>
      </c>
      <c r="CC7" s="6"/>
      <c r="CD7" s="21">
        <f t="shared" si="31"/>
        <v>53478</v>
      </c>
      <c r="CE7" s="6">
        <f t="shared" si="32"/>
        <v>3733</v>
      </c>
      <c r="CF7" s="6">
        <f t="shared" si="33"/>
        <v>267</v>
      </c>
      <c r="CG7" s="6">
        <v>1000</v>
      </c>
      <c r="CH7" s="6">
        <v>1000</v>
      </c>
      <c r="CI7" s="6">
        <v>6000</v>
      </c>
      <c r="CJ7" s="6"/>
      <c r="CK7" s="5" t="s">
        <v>24</v>
      </c>
      <c r="CL7" s="14">
        <f t="shared" si="34"/>
        <v>49745</v>
      </c>
      <c r="CM7" s="14">
        <v>49745</v>
      </c>
      <c r="CN7" s="14">
        <v>5000</v>
      </c>
      <c r="CO7" s="14">
        <v>5000</v>
      </c>
      <c r="CP7" s="14">
        <f>'2017'!CS7</f>
        <v>64234</v>
      </c>
      <c r="CQ7" s="14">
        <f>CP7+F7+M7+T7+AA7+AH7+AO7+AX7+BE7+BL7+BS7+BZ7+CG7</f>
        <v>76234</v>
      </c>
      <c r="CR7" s="3">
        <f t="shared" si="37"/>
        <v>2266</v>
      </c>
      <c r="CS7" s="41">
        <f t="shared" si="35"/>
        <v>78500</v>
      </c>
      <c r="CT7" s="14">
        <v>49800</v>
      </c>
      <c r="CU7" s="14">
        <v>1576</v>
      </c>
      <c r="CV7" s="14">
        <v>0</v>
      </c>
      <c r="CW7" s="14">
        <v>0</v>
      </c>
      <c r="CX7" s="14">
        <v>12624</v>
      </c>
    </row>
    <row r="8" spans="1:102">
      <c r="A8" s="3">
        <v>6</v>
      </c>
      <c r="B8" s="5" t="s">
        <v>25</v>
      </c>
      <c r="C8" s="7">
        <f>'2017'!CL8</f>
        <v>101101</v>
      </c>
      <c r="D8" s="6">
        <f t="shared" si="0"/>
        <v>82494</v>
      </c>
      <c r="E8" s="6">
        <f t="shared" si="1"/>
        <v>506</v>
      </c>
      <c r="F8" s="6">
        <v>500</v>
      </c>
      <c r="G8" s="6">
        <v>1500</v>
      </c>
      <c r="H8" s="6">
        <v>85000</v>
      </c>
      <c r="I8" s="21"/>
      <c r="J8" s="21">
        <f t="shared" si="2"/>
        <v>18607</v>
      </c>
      <c r="K8" s="6">
        <f t="shared" si="3"/>
        <v>18607</v>
      </c>
      <c r="L8" s="6">
        <f t="shared" si="36"/>
        <v>93</v>
      </c>
      <c r="M8" s="6">
        <v>500</v>
      </c>
      <c r="N8" s="6">
        <v>1500</v>
      </c>
      <c r="O8" s="6">
        <v>20700</v>
      </c>
      <c r="P8" s="6"/>
      <c r="Q8" s="21">
        <f t="shared" si="4"/>
        <v>0</v>
      </c>
      <c r="R8" s="6">
        <f t="shared" si="5"/>
        <v>0</v>
      </c>
      <c r="S8" s="6">
        <f t="shared" si="6"/>
        <v>0</v>
      </c>
      <c r="T8" s="6">
        <v>500</v>
      </c>
      <c r="U8" s="6">
        <v>1500</v>
      </c>
      <c r="V8" s="6">
        <v>2000</v>
      </c>
      <c r="W8" s="6"/>
      <c r="X8" s="21">
        <f t="shared" si="7"/>
        <v>0</v>
      </c>
      <c r="Y8" s="6">
        <f t="shared" si="8"/>
        <v>0</v>
      </c>
      <c r="Z8" s="6">
        <f t="shared" si="9"/>
        <v>0</v>
      </c>
      <c r="AA8" s="6">
        <v>500</v>
      </c>
      <c r="AB8" s="6">
        <v>1500</v>
      </c>
      <c r="AC8" s="6">
        <v>2000</v>
      </c>
      <c r="AD8" s="6"/>
      <c r="AE8" s="21">
        <f t="shared" si="10"/>
        <v>0</v>
      </c>
      <c r="AF8" s="6">
        <f t="shared" si="11"/>
        <v>0</v>
      </c>
      <c r="AG8" s="6">
        <f t="shared" si="12"/>
        <v>0</v>
      </c>
      <c r="AH8" s="6">
        <v>500</v>
      </c>
      <c r="AI8" s="6">
        <v>1500</v>
      </c>
      <c r="AJ8" s="6">
        <v>2000</v>
      </c>
      <c r="AK8" s="6"/>
      <c r="AL8" s="21">
        <f t="shared" si="13"/>
        <v>0</v>
      </c>
      <c r="AM8" s="6">
        <f t="shared" si="14"/>
        <v>0</v>
      </c>
      <c r="AN8" s="6">
        <f t="shared" si="15"/>
        <v>0</v>
      </c>
      <c r="AO8" s="6">
        <v>500</v>
      </c>
      <c r="AP8" s="6">
        <v>0</v>
      </c>
      <c r="AQ8" s="6">
        <v>500</v>
      </c>
      <c r="AR8" s="6">
        <v>0</v>
      </c>
      <c r="AS8" s="6"/>
      <c r="AU8" s="21">
        <f t="shared" si="16"/>
        <v>0</v>
      </c>
      <c r="AV8" s="6">
        <f t="shared" si="17"/>
        <v>0</v>
      </c>
      <c r="AW8" s="6">
        <f t="shared" si="18"/>
        <v>0</v>
      </c>
      <c r="AX8" s="6">
        <v>500</v>
      </c>
      <c r="AY8" s="6">
        <v>0</v>
      </c>
      <c r="AZ8" s="6">
        <v>500</v>
      </c>
      <c r="BA8" s="6"/>
      <c r="BB8" s="21">
        <f t="shared" si="19"/>
        <v>0</v>
      </c>
      <c r="BC8" s="6">
        <f t="shared" si="20"/>
        <v>0</v>
      </c>
      <c r="BD8" s="6">
        <f t="shared" si="21"/>
        <v>0</v>
      </c>
      <c r="BE8" s="6">
        <v>500</v>
      </c>
      <c r="BF8" s="6">
        <v>1000</v>
      </c>
      <c r="BG8" s="6">
        <v>1500</v>
      </c>
      <c r="BH8" s="6"/>
      <c r="BI8" s="21">
        <f t="shared" si="22"/>
        <v>0</v>
      </c>
      <c r="BJ8" s="6">
        <f t="shared" si="23"/>
        <v>0</v>
      </c>
      <c r="BK8" s="6">
        <f t="shared" si="24"/>
        <v>0</v>
      </c>
      <c r="BL8" s="6">
        <v>500</v>
      </c>
      <c r="BM8" s="6">
        <v>1000</v>
      </c>
      <c r="BN8" s="6">
        <v>1500</v>
      </c>
      <c r="BO8" s="6"/>
      <c r="BP8" s="21">
        <f t="shared" si="25"/>
        <v>0</v>
      </c>
      <c r="BQ8" s="6">
        <f t="shared" si="26"/>
        <v>0</v>
      </c>
      <c r="BR8" s="6">
        <f t="shared" si="27"/>
        <v>0</v>
      </c>
      <c r="BS8" s="6">
        <v>500</v>
      </c>
      <c r="BT8" s="6">
        <v>1000</v>
      </c>
      <c r="BU8" s="6">
        <v>1500</v>
      </c>
      <c r="BV8" s="6"/>
      <c r="BW8" s="21">
        <f t="shared" si="28"/>
        <v>0</v>
      </c>
      <c r="BX8" s="6">
        <f t="shared" si="29"/>
        <v>0</v>
      </c>
      <c r="BY8" s="6">
        <f t="shared" si="30"/>
        <v>0</v>
      </c>
      <c r="BZ8" s="6">
        <v>500</v>
      </c>
      <c r="CA8" s="6">
        <v>1000</v>
      </c>
      <c r="CB8" s="6">
        <v>1500</v>
      </c>
      <c r="CC8" s="6"/>
      <c r="CD8" s="21">
        <f t="shared" si="31"/>
        <v>0</v>
      </c>
      <c r="CE8" s="6">
        <f t="shared" si="32"/>
        <v>0</v>
      </c>
      <c r="CF8" s="6">
        <f t="shared" si="33"/>
        <v>0</v>
      </c>
      <c r="CG8" s="6">
        <v>500</v>
      </c>
      <c r="CH8" s="6">
        <v>1000</v>
      </c>
      <c r="CI8" s="6">
        <v>1500</v>
      </c>
      <c r="CJ8" s="6">
        <v>10990</v>
      </c>
      <c r="CK8" s="5" t="s">
        <v>25</v>
      </c>
      <c r="CL8" s="14">
        <f t="shared" si="34"/>
        <v>10990</v>
      </c>
      <c r="CM8" s="14">
        <v>10990</v>
      </c>
      <c r="CN8" s="14">
        <v>5000</v>
      </c>
      <c r="CO8" s="14">
        <v>5000</v>
      </c>
      <c r="CP8" s="14">
        <f>'2017'!CS8</f>
        <v>102626</v>
      </c>
      <c r="CQ8" s="14">
        <f>CP8+F8+M8+T8+AA8+AH8+AO8+AX8+BE8+BL8+BS8+BZ8+CG8-50000</f>
        <v>58626</v>
      </c>
      <c r="CR8" s="3">
        <f t="shared" si="37"/>
        <v>1743</v>
      </c>
      <c r="CS8" s="41">
        <f t="shared" si="35"/>
        <v>60369</v>
      </c>
      <c r="CT8" s="14">
        <v>21216</v>
      </c>
      <c r="CU8" s="14">
        <v>1339</v>
      </c>
      <c r="CV8" s="14">
        <v>67000</v>
      </c>
      <c r="CW8" s="14">
        <v>56774</v>
      </c>
      <c r="CX8" s="14">
        <v>6000</v>
      </c>
    </row>
    <row r="9" spans="1:102">
      <c r="A9" s="3">
        <v>7</v>
      </c>
      <c r="B9" s="5" t="s">
        <v>26</v>
      </c>
      <c r="C9" s="7">
        <f>'2017'!CL9</f>
        <v>71187</v>
      </c>
      <c r="D9" s="6">
        <f t="shared" si="0"/>
        <v>0</v>
      </c>
      <c r="E9" s="6">
        <f t="shared" si="1"/>
        <v>356</v>
      </c>
      <c r="F9" s="6">
        <v>500</v>
      </c>
      <c r="G9" s="6">
        <v>0</v>
      </c>
      <c r="H9" s="6">
        <v>856</v>
      </c>
      <c r="I9" s="21">
        <v>15856</v>
      </c>
      <c r="J9" s="21">
        <f t="shared" si="2"/>
        <v>87043</v>
      </c>
      <c r="K9" s="6">
        <f t="shared" si="3"/>
        <v>2565</v>
      </c>
      <c r="L9" s="6">
        <f t="shared" si="36"/>
        <v>435</v>
      </c>
      <c r="M9" s="6">
        <v>500</v>
      </c>
      <c r="N9" s="6">
        <v>0</v>
      </c>
      <c r="O9" s="6">
        <v>3500</v>
      </c>
      <c r="P9" s="6"/>
      <c r="Q9" s="21">
        <f t="shared" si="4"/>
        <v>84478</v>
      </c>
      <c r="R9" s="6">
        <f t="shared" si="5"/>
        <v>0</v>
      </c>
      <c r="S9" s="6">
        <f t="shared" si="6"/>
        <v>422</v>
      </c>
      <c r="T9" s="6">
        <v>500</v>
      </c>
      <c r="U9" s="6">
        <v>0</v>
      </c>
      <c r="V9" s="6">
        <v>922</v>
      </c>
      <c r="W9" s="6">
        <v>922</v>
      </c>
      <c r="X9" s="21">
        <f t="shared" si="7"/>
        <v>85400</v>
      </c>
      <c r="Y9" s="6">
        <f t="shared" si="8"/>
        <v>0</v>
      </c>
      <c r="Z9" s="6">
        <f t="shared" si="9"/>
        <v>427</v>
      </c>
      <c r="AA9" s="6">
        <v>500</v>
      </c>
      <c r="AB9" s="6">
        <v>0</v>
      </c>
      <c r="AC9" s="6">
        <v>927</v>
      </c>
      <c r="AD9" s="6">
        <v>10927</v>
      </c>
      <c r="AE9" s="21">
        <f t="shared" si="10"/>
        <v>96327</v>
      </c>
      <c r="AF9" s="6">
        <f t="shared" si="11"/>
        <v>2018</v>
      </c>
      <c r="AG9" s="6">
        <f t="shared" si="12"/>
        <v>482</v>
      </c>
      <c r="AH9" s="6">
        <v>500</v>
      </c>
      <c r="AI9" s="6">
        <v>0</v>
      </c>
      <c r="AJ9" s="6">
        <v>3000</v>
      </c>
      <c r="AK9" s="6"/>
      <c r="AL9" s="21">
        <f t="shared" si="13"/>
        <v>94309</v>
      </c>
      <c r="AM9" s="6">
        <f t="shared" si="14"/>
        <v>2028</v>
      </c>
      <c r="AN9" s="6">
        <f t="shared" si="15"/>
        <v>472</v>
      </c>
      <c r="AO9" s="6">
        <v>500</v>
      </c>
      <c r="AP9" s="6">
        <v>0</v>
      </c>
      <c r="AQ9" s="6">
        <v>3000</v>
      </c>
      <c r="AR9" s="6">
        <v>0</v>
      </c>
      <c r="AS9" s="6"/>
      <c r="AU9" s="21">
        <f t="shared" si="16"/>
        <v>92281</v>
      </c>
      <c r="AV9" s="6">
        <f t="shared" si="17"/>
        <v>2039</v>
      </c>
      <c r="AW9" s="6">
        <f t="shared" si="18"/>
        <v>461</v>
      </c>
      <c r="AX9" s="6">
        <v>500</v>
      </c>
      <c r="AY9" s="6">
        <v>0</v>
      </c>
      <c r="AZ9" s="28">
        <v>3000</v>
      </c>
      <c r="BA9" s="6"/>
      <c r="BB9" s="21">
        <f t="shared" si="19"/>
        <v>90242</v>
      </c>
      <c r="BC9" s="6">
        <f t="shared" si="20"/>
        <v>0</v>
      </c>
      <c r="BD9" s="6">
        <f t="shared" si="21"/>
        <v>451</v>
      </c>
      <c r="BE9" s="6">
        <v>500</v>
      </c>
      <c r="BF9" s="6">
        <v>0</v>
      </c>
      <c r="BG9" s="6">
        <v>951</v>
      </c>
      <c r="BH9" s="6">
        <v>10951</v>
      </c>
      <c r="BI9" s="21">
        <f t="shared" si="22"/>
        <v>101193</v>
      </c>
      <c r="BJ9" s="6">
        <f t="shared" si="23"/>
        <v>0</v>
      </c>
      <c r="BK9" s="6">
        <f t="shared" si="24"/>
        <v>506</v>
      </c>
      <c r="BL9" s="6">
        <v>500</v>
      </c>
      <c r="BM9" s="6">
        <v>0</v>
      </c>
      <c r="BN9" s="6">
        <v>1006</v>
      </c>
      <c r="BO9" s="6">
        <v>1006</v>
      </c>
      <c r="BP9" s="21">
        <f t="shared" si="25"/>
        <v>102199</v>
      </c>
      <c r="BQ9" s="6">
        <f t="shared" si="26"/>
        <v>1989</v>
      </c>
      <c r="BR9" s="6">
        <f t="shared" si="27"/>
        <v>511</v>
      </c>
      <c r="BS9" s="6">
        <v>500</v>
      </c>
      <c r="BT9" s="6">
        <v>0</v>
      </c>
      <c r="BU9" s="21">
        <v>3000</v>
      </c>
      <c r="BV9" s="6"/>
      <c r="BW9" s="21">
        <f t="shared" si="28"/>
        <v>100210</v>
      </c>
      <c r="BX9" s="6">
        <f t="shared" si="29"/>
        <v>0</v>
      </c>
      <c r="BY9" s="6">
        <f t="shared" si="30"/>
        <v>501</v>
      </c>
      <c r="BZ9" s="6">
        <v>500</v>
      </c>
      <c r="CA9" s="6">
        <v>0</v>
      </c>
      <c r="CB9" s="21">
        <v>1001</v>
      </c>
      <c r="CC9" s="6">
        <v>4111</v>
      </c>
      <c r="CD9" s="21">
        <f t="shared" si="31"/>
        <v>104321</v>
      </c>
      <c r="CE9" s="6">
        <f t="shared" si="32"/>
        <v>0</v>
      </c>
      <c r="CF9" s="6">
        <f t="shared" si="33"/>
        <v>522</v>
      </c>
      <c r="CG9" s="6">
        <v>500</v>
      </c>
      <c r="CH9" s="6">
        <v>0</v>
      </c>
      <c r="CI9" s="6">
        <v>1022</v>
      </c>
      <c r="CJ9" s="6">
        <v>7022</v>
      </c>
      <c r="CK9" s="5" t="s">
        <v>26</v>
      </c>
      <c r="CL9" s="14">
        <f t="shared" si="34"/>
        <v>111343</v>
      </c>
      <c r="CM9" s="14">
        <v>111359</v>
      </c>
      <c r="CN9" s="14">
        <v>5000</v>
      </c>
      <c r="CO9" s="14"/>
      <c r="CP9" s="14">
        <f>'2017'!CS9</f>
        <v>19447</v>
      </c>
      <c r="CQ9" s="14">
        <f>CP9+F9+M9+T9+AA9+AH9+AO9+AX9+BE9+BL9+BS9+BZ9+CG9</f>
        <v>25447</v>
      </c>
      <c r="CR9" s="3">
        <f t="shared" si="37"/>
        <v>756</v>
      </c>
      <c r="CS9" s="41">
        <f t="shared" si="35"/>
        <v>26203</v>
      </c>
      <c r="CT9" s="14">
        <v>16276</v>
      </c>
      <c r="CU9" s="14">
        <v>6609</v>
      </c>
      <c r="CV9" s="14">
        <v>25185</v>
      </c>
      <c r="CW9" s="14">
        <v>120252</v>
      </c>
      <c r="CX9" s="14">
        <v>6000</v>
      </c>
    </row>
    <row r="10" spans="1:102">
      <c r="A10" s="3">
        <v>8</v>
      </c>
      <c r="B10" s="5" t="s">
        <v>27</v>
      </c>
      <c r="C10" s="7">
        <f>'2017'!CL10</f>
        <v>0</v>
      </c>
      <c r="D10" s="6">
        <f t="shared" si="0"/>
        <v>0</v>
      </c>
      <c r="E10" s="6">
        <f t="shared" si="1"/>
        <v>0</v>
      </c>
      <c r="F10" s="6">
        <v>500</v>
      </c>
      <c r="G10" s="6">
        <v>0</v>
      </c>
      <c r="H10" s="6">
        <v>500</v>
      </c>
      <c r="I10" s="21"/>
      <c r="J10" s="21">
        <f t="shared" si="2"/>
        <v>0</v>
      </c>
      <c r="K10" s="6">
        <f t="shared" si="3"/>
        <v>0</v>
      </c>
      <c r="L10" s="6">
        <f t="shared" si="36"/>
        <v>0</v>
      </c>
      <c r="M10" s="6">
        <v>500</v>
      </c>
      <c r="N10" s="6">
        <v>0</v>
      </c>
      <c r="O10" s="6">
        <v>500</v>
      </c>
      <c r="P10" s="6"/>
      <c r="Q10" s="21">
        <f t="shared" si="4"/>
        <v>0</v>
      </c>
      <c r="R10" s="6">
        <f t="shared" si="5"/>
        <v>0</v>
      </c>
      <c r="S10" s="6">
        <f t="shared" si="6"/>
        <v>0</v>
      </c>
      <c r="T10" s="6">
        <v>500</v>
      </c>
      <c r="U10" s="6">
        <v>0</v>
      </c>
      <c r="V10" s="6">
        <v>500</v>
      </c>
      <c r="W10" s="6"/>
      <c r="X10" s="21">
        <f t="shared" si="7"/>
        <v>0</v>
      </c>
      <c r="Y10" s="6">
        <f t="shared" si="8"/>
        <v>0</v>
      </c>
      <c r="Z10" s="6">
        <f t="shared" si="9"/>
        <v>0</v>
      </c>
      <c r="AA10" s="6">
        <v>500</v>
      </c>
      <c r="AB10" s="6">
        <v>0</v>
      </c>
      <c r="AC10" s="6">
        <v>500</v>
      </c>
      <c r="AD10" s="6"/>
      <c r="AE10" s="21">
        <f t="shared" si="10"/>
        <v>0</v>
      </c>
      <c r="AF10" s="6">
        <f t="shared" si="11"/>
        <v>0</v>
      </c>
      <c r="AG10" s="6">
        <f t="shared" si="12"/>
        <v>0</v>
      </c>
      <c r="AH10" s="6">
        <v>500</v>
      </c>
      <c r="AI10" s="6">
        <v>0</v>
      </c>
      <c r="AJ10" s="6">
        <v>500</v>
      </c>
      <c r="AK10" s="6"/>
      <c r="AL10" s="21">
        <f t="shared" si="13"/>
        <v>0</v>
      </c>
      <c r="AM10" s="6">
        <f t="shared" si="14"/>
        <v>0</v>
      </c>
      <c r="AN10" s="6">
        <f t="shared" si="15"/>
        <v>0</v>
      </c>
      <c r="AO10" s="6">
        <v>500</v>
      </c>
      <c r="AP10" s="6">
        <v>0</v>
      </c>
      <c r="AQ10" s="6">
        <v>500</v>
      </c>
      <c r="AR10" s="6">
        <v>0</v>
      </c>
      <c r="AS10" s="6"/>
      <c r="AU10" s="21">
        <f t="shared" si="16"/>
        <v>0</v>
      </c>
      <c r="AV10" s="6">
        <f t="shared" si="17"/>
        <v>0</v>
      </c>
      <c r="AW10" s="6">
        <f t="shared" si="18"/>
        <v>0</v>
      </c>
      <c r="AX10" s="6">
        <v>500</v>
      </c>
      <c r="AY10" s="6">
        <v>0</v>
      </c>
      <c r="AZ10" s="28">
        <v>500</v>
      </c>
      <c r="BA10" s="6"/>
      <c r="BB10" s="21">
        <f t="shared" si="19"/>
        <v>0</v>
      </c>
      <c r="BC10" s="6">
        <f t="shared" si="20"/>
        <v>0</v>
      </c>
      <c r="BD10" s="6">
        <f t="shared" si="21"/>
        <v>0</v>
      </c>
      <c r="BE10" s="6">
        <v>500</v>
      </c>
      <c r="BF10" s="6">
        <v>0</v>
      </c>
      <c r="BG10" s="6">
        <v>500</v>
      </c>
      <c r="BH10" s="6"/>
      <c r="BI10" s="21">
        <f t="shared" si="22"/>
        <v>0</v>
      </c>
      <c r="BJ10" s="6">
        <f t="shared" si="23"/>
        <v>0</v>
      </c>
      <c r="BK10" s="6">
        <f t="shared" si="24"/>
        <v>0</v>
      </c>
      <c r="BL10" s="6">
        <v>500</v>
      </c>
      <c r="BM10" s="6">
        <v>0</v>
      </c>
      <c r="BN10" s="6">
        <v>500</v>
      </c>
      <c r="BO10" s="6"/>
      <c r="BP10" s="21">
        <f t="shared" si="25"/>
        <v>0</v>
      </c>
      <c r="BQ10" s="6">
        <f t="shared" si="26"/>
        <v>0</v>
      </c>
      <c r="BR10" s="6">
        <f t="shared" si="27"/>
        <v>0</v>
      </c>
      <c r="BS10" s="6">
        <v>500</v>
      </c>
      <c r="BT10" s="6">
        <v>0</v>
      </c>
      <c r="BU10" s="21">
        <v>500</v>
      </c>
      <c r="BV10" s="6"/>
      <c r="BW10" s="21">
        <f t="shared" si="28"/>
        <v>0</v>
      </c>
      <c r="BX10" s="6">
        <f t="shared" si="29"/>
        <v>0</v>
      </c>
      <c r="BY10" s="6">
        <f t="shared" si="30"/>
        <v>0</v>
      </c>
      <c r="BZ10" s="6">
        <v>500</v>
      </c>
      <c r="CA10" s="6">
        <v>0</v>
      </c>
      <c r="CB10" s="6">
        <v>500</v>
      </c>
      <c r="CC10" s="6"/>
      <c r="CD10" s="21">
        <f t="shared" si="31"/>
        <v>0</v>
      </c>
      <c r="CE10" s="6">
        <f t="shared" si="32"/>
        <v>0</v>
      </c>
      <c r="CF10" s="6">
        <f t="shared" si="33"/>
        <v>0</v>
      </c>
      <c r="CG10" s="6">
        <v>500</v>
      </c>
      <c r="CH10" s="6">
        <v>0</v>
      </c>
      <c r="CI10" s="6">
        <v>500</v>
      </c>
      <c r="CJ10" s="6"/>
      <c r="CK10" s="5" t="s">
        <v>27</v>
      </c>
      <c r="CL10" s="14">
        <f t="shared" si="34"/>
        <v>0</v>
      </c>
      <c r="CM10" s="14">
        <v>0</v>
      </c>
      <c r="CN10" s="14">
        <v>0</v>
      </c>
      <c r="CO10" s="14"/>
      <c r="CP10" s="14">
        <f>'2017'!CS10</f>
        <v>66941</v>
      </c>
      <c r="CQ10" s="14">
        <f t="shared" ref="CQ10:CQ25" si="38">CP10+F10+M10+T10+AA10+AH10+AO10+AX10+BE10+BL10+BS10+BZ10+CG10</f>
        <v>72941</v>
      </c>
      <c r="CR10" s="3">
        <f t="shared" si="37"/>
        <v>2168</v>
      </c>
      <c r="CS10" s="41">
        <f t="shared" si="35"/>
        <v>75109</v>
      </c>
      <c r="CT10" s="14">
        <v>0</v>
      </c>
      <c r="CU10" s="14">
        <v>0</v>
      </c>
      <c r="CV10" s="14">
        <v>0</v>
      </c>
      <c r="CW10" s="14">
        <v>0</v>
      </c>
      <c r="CX10" s="14">
        <v>6000</v>
      </c>
    </row>
    <row r="11" spans="1:102">
      <c r="A11" s="3">
        <v>9</v>
      </c>
      <c r="B11" s="5" t="s">
        <v>28</v>
      </c>
      <c r="C11" s="7">
        <f>'2017'!CL11</f>
        <v>86702</v>
      </c>
      <c r="D11" s="6">
        <f t="shared" si="0"/>
        <v>7066</v>
      </c>
      <c r="E11" s="6">
        <f t="shared" si="1"/>
        <v>434</v>
      </c>
      <c r="F11" s="6">
        <v>500</v>
      </c>
      <c r="G11" s="6">
        <v>0</v>
      </c>
      <c r="H11" s="6">
        <v>8000</v>
      </c>
      <c r="I11" s="21"/>
      <c r="J11" s="21">
        <f t="shared" si="2"/>
        <v>79636</v>
      </c>
      <c r="K11" s="6">
        <f t="shared" si="3"/>
        <v>9102</v>
      </c>
      <c r="L11" s="6">
        <f t="shared" si="36"/>
        <v>398</v>
      </c>
      <c r="M11" s="6">
        <v>500</v>
      </c>
      <c r="N11" s="6">
        <v>0</v>
      </c>
      <c r="O11" s="6">
        <v>10000</v>
      </c>
      <c r="P11" s="6"/>
      <c r="Q11" s="21">
        <f t="shared" si="4"/>
        <v>70534</v>
      </c>
      <c r="R11" s="6">
        <f t="shared" si="5"/>
        <v>8147</v>
      </c>
      <c r="S11" s="6">
        <f t="shared" si="6"/>
        <v>353</v>
      </c>
      <c r="T11" s="6">
        <v>500</v>
      </c>
      <c r="U11" s="6">
        <v>0</v>
      </c>
      <c r="V11" s="6">
        <v>9000</v>
      </c>
      <c r="W11" s="6"/>
      <c r="X11" s="21">
        <f t="shared" si="7"/>
        <v>62387</v>
      </c>
      <c r="Y11" s="6">
        <f t="shared" si="8"/>
        <v>11188</v>
      </c>
      <c r="Z11" s="6">
        <f t="shared" si="9"/>
        <v>312</v>
      </c>
      <c r="AA11" s="6">
        <v>500</v>
      </c>
      <c r="AB11" s="6">
        <v>0</v>
      </c>
      <c r="AC11" s="6">
        <v>12000</v>
      </c>
      <c r="AD11" s="6">
        <v>0</v>
      </c>
      <c r="AE11" s="21">
        <f t="shared" si="10"/>
        <v>51199</v>
      </c>
      <c r="AF11" s="6">
        <f t="shared" si="11"/>
        <v>9244</v>
      </c>
      <c r="AG11" s="6">
        <f t="shared" si="12"/>
        <v>256</v>
      </c>
      <c r="AH11" s="6">
        <v>500</v>
      </c>
      <c r="AI11" s="6">
        <v>0</v>
      </c>
      <c r="AJ11" s="6">
        <v>10000</v>
      </c>
      <c r="AK11" s="6"/>
      <c r="AL11" s="21">
        <f t="shared" si="13"/>
        <v>41955</v>
      </c>
      <c r="AM11" s="6">
        <f t="shared" si="14"/>
        <v>9290</v>
      </c>
      <c r="AN11" s="6">
        <f t="shared" si="15"/>
        <v>210</v>
      </c>
      <c r="AO11" s="6">
        <v>500</v>
      </c>
      <c r="AP11" s="6">
        <v>0</v>
      </c>
      <c r="AQ11" s="6">
        <v>10000</v>
      </c>
      <c r="AR11" s="6">
        <v>0</v>
      </c>
      <c r="AS11" s="6">
        <v>50000</v>
      </c>
      <c r="AU11" s="21">
        <f t="shared" si="16"/>
        <v>82665</v>
      </c>
      <c r="AV11" s="6">
        <f t="shared" si="17"/>
        <v>7087</v>
      </c>
      <c r="AW11" s="6">
        <f t="shared" si="18"/>
        <v>413</v>
      </c>
      <c r="AX11" s="6">
        <v>500</v>
      </c>
      <c r="AY11" s="6">
        <v>0</v>
      </c>
      <c r="AZ11" s="6">
        <v>8000</v>
      </c>
      <c r="BA11" s="6"/>
      <c r="BB11" s="21">
        <f t="shared" si="19"/>
        <v>75578</v>
      </c>
      <c r="BC11" s="6">
        <f t="shared" si="20"/>
        <v>9122</v>
      </c>
      <c r="BD11" s="6">
        <f t="shared" si="21"/>
        <v>378</v>
      </c>
      <c r="BE11" s="6">
        <v>500</v>
      </c>
      <c r="BF11" s="6">
        <v>0</v>
      </c>
      <c r="BG11" s="6">
        <v>10000</v>
      </c>
      <c r="BH11" s="6">
        <v>50000</v>
      </c>
      <c r="BI11" s="21">
        <f t="shared" si="22"/>
        <v>116456</v>
      </c>
      <c r="BJ11" s="6">
        <f t="shared" si="23"/>
        <v>8918</v>
      </c>
      <c r="BK11" s="6">
        <f t="shared" si="24"/>
        <v>582</v>
      </c>
      <c r="BL11" s="6">
        <v>500</v>
      </c>
      <c r="BM11" s="6">
        <v>0</v>
      </c>
      <c r="BN11" s="6">
        <v>10000</v>
      </c>
      <c r="BO11" s="6">
        <v>50000</v>
      </c>
      <c r="BP11" s="21">
        <f t="shared" si="25"/>
        <v>157538</v>
      </c>
      <c r="BQ11" s="6">
        <f t="shared" si="26"/>
        <v>3712</v>
      </c>
      <c r="BR11" s="6">
        <f t="shared" si="27"/>
        <v>788</v>
      </c>
      <c r="BS11" s="6">
        <v>500</v>
      </c>
      <c r="BT11" s="6">
        <v>0</v>
      </c>
      <c r="BU11" s="6">
        <v>5000</v>
      </c>
      <c r="BV11" s="6"/>
      <c r="BW11" s="21">
        <f t="shared" si="28"/>
        <v>153826</v>
      </c>
      <c r="BX11" s="6">
        <f t="shared" si="29"/>
        <v>8731</v>
      </c>
      <c r="BY11" s="6">
        <f t="shared" si="30"/>
        <v>769</v>
      </c>
      <c r="BZ11" s="6">
        <v>500</v>
      </c>
      <c r="CA11" s="6">
        <v>0</v>
      </c>
      <c r="CB11" s="6">
        <v>10000</v>
      </c>
      <c r="CC11" s="6"/>
      <c r="CD11" s="21">
        <f t="shared" si="31"/>
        <v>145095</v>
      </c>
      <c r="CE11" s="6">
        <f t="shared" si="32"/>
        <v>4775</v>
      </c>
      <c r="CF11" s="6">
        <f t="shared" si="33"/>
        <v>725</v>
      </c>
      <c r="CG11" s="6">
        <v>500</v>
      </c>
      <c r="CH11" s="6">
        <v>0</v>
      </c>
      <c r="CI11" s="6">
        <v>6000</v>
      </c>
      <c r="CJ11" s="6"/>
      <c r="CK11" s="5" t="s">
        <v>28</v>
      </c>
      <c r="CL11" s="14">
        <f t="shared" si="34"/>
        <v>140320</v>
      </c>
      <c r="CM11" s="14">
        <v>140266</v>
      </c>
      <c r="CN11" s="14">
        <v>0</v>
      </c>
      <c r="CO11" s="14"/>
      <c r="CP11" s="14">
        <f>'2017'!CS11</f>
        <v>67068</v>
      </c>
      <c r="CQ11" s="14">
        <f t="shared" si="38"/>
        <v>73068</v>
      </c>
      <c r="CR11" s="3">
        <f t="shared" si="37"/>
        <v>2172</v>
      </c>
      <c r="CS11" s="41">
        <f t="shared" si="35"/>
        <v>75240</v>
      </c>
      <c r="CT11" s="14">
        <v>46589</v>
      </c>
      <c r="CU11" s="14">
        <v>12777</v>
      </c>
      <c r="CV11" s="14">
        <v>145366</v>
      </c>
      <c r="CW11" s="14">
        <v>239097</v>
      </c>
      <c r="CX11" s="14">
        <v>6000</v>
      </c>
    </row>
    <row r="12" spans="1:102">
      <c r="A12" s="3">
        <v>10</v>
      </c>
      <c r="B12" s="5" t="s">
        <v>29</v>
      </c>
      <c r="C12" s="7">
        <f>'2017'!CL12</f>
        <v>80001</v>
      </c>
      <c r="D12" s="6">
        <f t="shared" si="0"/>
        <v>1100</v>
      </c>
      <c r="E12" s="6">
        <f t="shared" si="1"/>
        <v>400</v>
      </c>
      <c r="F12" s="6">
        <v>500</v>
      </c>
      <c r="G12" s="6">
        <v>0</v>
      </c>
      <c r="H12" s="6">
        <v>2000</v>
      </c>
      <c r="I12" s="21">
        <v>50000</v>
      </c>
      <c r="J12" s="21">
        <f t="shared" si="2"/>
        <v>128901</v>
      </c>
      <c r="K12" s="6">
        <f t="shared" si="3"/>
        <v>855</v>
      </c>
      <c r="L12" s="6">
        <f t="shared" si="36"/>
        <v>645</v>
      </c>
      <c r="M12" s="6">
        <v>500</v>
      </c>
      <c r="N12" s="6">
        <v>0</v>
      </c>
      <c r="O12" s="6">
        <v>2000</v>
      </c>
      <c r="P12" s="6">
        <v>0</v>
      </c>
      <c r="Q12" s="21">
        <f t="shared" si="4"/>
        <v>128046</v>
      </c>
      <c r="R12" s="6">
        <f t="shared" si="5"/>
        <v>2860</v>
      </c>
      <c r="S12" s="6">
        <f t="shared" si="6"/>
        <v>640</v>
      </c>
      <c r="T12" s="6">
        <v>500</v>
      </c>
      <c r="U12" s="6">
        <v>0</v>
      </c>
      <c r="V12" s="6">
        <v>4000</v>
      </c>
      <c r="W12" s="6">
        <v>0</v>
      </c>
      <c r="X12" s="21">
        <f t="shared" si="7"/>
        <v>125186</v>
      </c>
      <c r="Y12" s="6">
        <f t="shared" si="8"/>
        <v>3374</v>
      </c>
      <c r="Z12" s="6">
        <f t="shared" si="9"/>
        <v>626</v>
      </c>
      <c r="AA12" s="6">
        <v>1000</v>
      </c>
      <c r="AB12" s="6">
        <v>0</v>
      </c>
      <c r="AC12" s="6">
        <v>5000</v>
      </c>
      <c r="AD12" s="6">
        <v>55000</v>
      </c>
      <c r="AE12" s="21">
        <f t="shared" si="10"/>
        <v>176812</v>
      </c>
      <c r="AF12" s="6">
        <f t="shared" si="11"/>
        <v>5616</v>
      </c>
      <c r="AG12" s="6">
        <f t="shared" si="12"/>
        <v>884</v>
      </c>
      <c r="AH12" s="6">
        <v>500</v>
      </c>
      <c r="AI12" s="6">
        <v>0</v>
      </c>
      <c r="AJ12" s="6">
        <v>7000</v>
      </c>
      <c r="AK12" s="6">
        <v>20000</v>
      </c>
      <c r="AL12" s="21">
        <f t="shared" si="13"/>
        <v>191196</v>
      </c>
      <c r="AM12" s="6">
        <f t="shared" si="14"/>
        <v>5044</v>
      </c>
      <c r="AN12" s="6">
        <f t="shared" si="15"/>
        <v>956</v>
      </c>
      <c r="AO12" s="6">
        <v>500</v>
      </c>
      <c r="AP12" s="6">
        <v>0</v>
      </c>
      <c r="AQ12" s="6">
        <v>6500</v>
      </c>
      <c r="AR12" s="6">
        <v>0</v>
      </c>
      <c r="AS12" s="6"/>
      <c r="AU12" s="21">
        <f t="shared" si="16"/>
        <v>186152</v>
      </c>
      <c r="AV12" s="6">
        <f t="shared" si="17"/>
        <v>3569</v>
      </c>
      <c r="AW12" s="6">
        <f t="shared" si="18"/>
        <v>931</v>
      </c>
      <c r="AX12" s="6">
        <v>500</v>
      </c>
      <c r="AY12" s="6">
        <v>0</v>
      </c>
      <c r="AZ12" s="6">
        <v>5000</v>
      </c>
      <c r="BA12" s="6"/>
      <c r="BB12" s="21">
        <f t="shared" si="19"/>
        <v>182583</v>
      </c>
      <c r="BC12" s="6">
        <f t="shared" si="20"/>
        <v>5587</v>
      </c>
      <c r="BD12" s="6">
        <f t="shared" si="21"/>
        <v>913</v>
      </c>
      <c r="BE12" s="6">
        <v>500</v>
      </c>
      <c r="BF12" s="6">
        <v>0</v>
      </c>
      <c r="BG12" s="6">
        <v>7000</v>
      </c>
      <c r="BH12" s="6"/>
      <c r="BI12" s="21">
        <f t="shared" si="22"/>
        <v>176996</v>
      </c>
      <c r="BJ12" s="6">
        <f t="shared" si="23"/>
        <v>5615</v>
      </c>
      <c r="BK12" s="6">
        <f t="shared" si="24"/>
        <v>885</v>
      </c>
      <c r="BL12" s="6">
        <v>500</v>
      </c>
      <c r="BM12" s="6">
        <v>0</v>
      </c>
      <c r="BN12" s="6">
        <v>7000</v>
      </c>
      <c r="BO12" s="6"/>
      <c r="BP12" s="21">
        <f t="shared" si="25"/>
        <v>171381</v>
      </c>
      <c r="BQ12" s="6">
        <f t="shared" si="26"/>
        <v>5643</v>
      </c>
      <c r="BR12" s="6">
        <f t="shared" si="27"/>
        <v>857</v>
      </c>
      <c r="BS12" s="6">
        <v>500</v>
      </c>
      <c r="BT12" s="6">
        <v>0</v>
      </c>
      <c r="BU12" s="6">
        <v>7000</v>
      </c>
      <c r="BV12" s="6"/>
      <c r="BW12" s="21">
        <f t="shared" si="28"/>
        <v>165738</v>
      </c>
      <c r="BX12" s="6">
        <f t="shared" si="29"/>
        <v>6671</v>
      </c>
      <c r="BY12" s="6">
        <f t="shared" si="30"/>
        <v>829</v>
      </c>
      <c r="BZ12" s="6">
        <v>500</v>
      </c>
      <c r="CA12" s="6">
        <v>0</v>
      </c>
      <c r="CB12" s="6">
        <v>8000</v>
      </c>
      <c r="CC12" s="6"/>
      <c r="CD12" s="21">
        <f t="shared" si="31"/>
        <v>159067</v>
      </c>
      <c r="CE12" s="6">
        <f t="shared" si="32"/>
        <v>8705</v>
      </c>
      <c r="CF12" s="6">
        <f t="shared" si="33"/>
        <v>795</v>
      </c>
      <c r="CG12" s="6">
        <v>500</v>
      </c>
      <c r="CH12" s="6">
        <v>0</v>
      </c>
      <c r="CI12" s="6">
        <v>10000</v>
      </c>
      <c r="CJ12" s="6"/>
      <c r="CK12" s="5" t="s">
        <v>29</v>
      </c>
      <c r="CL12" s="14">
        <f t="shared" si="34"/>
        <v>150362</v>
      </c>
      <c r="CM12" s="14">
        <v>150361</v>
      </c>
      <c r="CN12" s="14">
        <v>0</v>
      </c>
      <c r="CO12" s="14"/>
      <c r="CP12" s="14">
        <f>'2017'!CS12</f>
        <v>66644</v>
      </c>
      <c r="CQ12" s="14">
        <f t="shared" si="38"/>
        <v>73144</v>
      </c>
      <c r="CR12" s="3">
        <f t="shared" si="37"/>
        <v>2174</v>
      </c>
      <c r="CS12" s="41">
        <f t="shared" si="35"/>
        <v>75318</v>
      </c>
      <c r="CT12" s="14">
        <v>60491</v>
      </c>
      <c r="CU12" s="14">
        <v>9147</v>
      </c>
      <c r="CV12" s="14">
        <v>86804</v>
      </c>
      <c r="CW12" s="14">
        <v>176675</v>
      </c>
      <c r="CX12" s="14">
        <v>12000</v>
      </c>
    </row>
    <row r="13" spans="1:102">
      <c r="A13" s="3">
        <v>11</v>
      </c>
      <c r="B13" s="5" t="s">
        <v>30</v>
      </c>
      <c r="C13" s="7">
        <f>'2017'!CL13</f>
        <v>0</v>
      </c>
      <c r="D13" s="6">
        <f t="shared" si="0"/>
        <v>0</v>
      </c>
      <c r="E13" s="6">
        <f t="shared" si="1"/>
        <v>0</v>
      </c>
      <c r="F13" s="6">
        <v>7000</v>
      </c>
      <c r="G13" s="6">
        <v>0</v>
      </c>
      <c r="H13" s="6">
        <v>7000</v>
      </c>
      <c r="I13" s="21"/>
      <c r="J13" s="21">
        <f t="shared" si="2"/>
        <v>0</v>
      </c>
      <c r="K13" s="6">
        <f t="shared" si="3"/>
        <v>0</v>
      </c>
      <c r="L13" s="6">
        <f t="shared" si="36"/>
        <v>0</v>
      </c>
      <c r="M13" s="6">
        <v>7000</v>
      </c>
      <c r="N13" s="6">
        <v>0</v>
      </c>
      <c r="O13" s="6">
        <v>7000</v>
      </c>
      <c r="P13" s="6"/>
      <c r="Q13" s="21">
        <f t="shared" si="4"/>
        <v>0</v>
      </c>
      <c r="R13" s="6">
        <f t="shared" si="5"/>
        <v>0</v>
      </c>
      <c r="S13" s="6">
        <f t="shared" si="6"/>
        <v>0</v>
      </c>
      <c r="T13" s="6">
        <v>7000</v>
      </c>
      <c r="U13" s="6">
        <v>0</v>
      </c>
      <c r="V13" s="6">
        <v>7000</v>
      </c>
      <c r="W13" s="6"/>
      <c r="X13" s="21">
        <f t="shared" si="7"/>
        <v>0</v>
      </c>
      <c r="Y13" s="6">
        <f t="shared" si="8"/>
        <v>0</v>
      </c>
      <c r="Z13" s="6">
        <f t="shared" si="9"/>
        <v>0</v>
      </c>
      <c r="AA13" s="6">
        <v>7000</v>
      </c>
      <c r="AB13" s="6">
        <v>0</v>
      </c>
      <c r="AC13" s="6">
        <v>7000</v>
      </c>
      <c r="AD13" s="6"/>
      <c r="AE13" s="21">
        <f t="shared" si="10"/>
        <v>0</v>
      </c>
      <c r="AF13" s="6">
        <f t="shared" si="11"/>
        <v>0</v>
      </c>
      <c r="AG13" s="6">
        <f t="shared" si="12"/>
        <v>0</v>
      </c>
      <c r="AH13" s="6">
        <v>7000</v>
      </c>
      <c r="AI13" s="6">
        <v>0</v>
      </c>
      <c r="AJ13" s="6">
        <v>7000</v>
      </c>
      <c r="AK13" s="6"/>
      <c r="AL13" s="21">
        <f t="shared" si="13"/>
        <v>0</v>
      </c>
      <c r="AM13" s="6">
        <f t="shared" si="14"/>
        <v>0</v>
      </c>
      <c r="AN13" s="6">
        <f t="shared" si="15"/>
        <v>0</v>
      </c>
      <c r="AO13" s="6">
        <v>7000</v>
      </c>
      <c r="AP13" s="6">
        <v>0</v>
      </c>
      <c r="AQ13" s="6">
        <v>7000</v>
      </c>
      <c r="AR13" s="6">
        <v>0</v>
      </c>
      <c r="AS13" s="6"/>
      <c r="AU13" s="21">
        <f t="shared" si="16"/>
        <v>0</v>
      </c>
      <c r="AV13" s="6">
        <f t="shared" si="17"/>
        <v>0</v>
      </c>
      <c r="AW13" s="6">
        <f t="shared" si="18"/>
        <v>0</v>
      </c>
      <c r="AX13" s="6">
        <v>7000</v>
      </c>
      <c r="AY13" s="6">
        <v>0</v>
      </c>
      <c r="AZ13" s="6">
        <v>7000</v>
      </c>
      <c r="BA13" s="6"/>
      <c r="BB13" s="21">
        <f t="shared" si="19"/>
        <v>0</v>
      </c>
      <c r="BC13" s="6">
        <f t="shared" si="20"/>
        <v>0</v>
      </c>
      <c r="BD13" s="6">
        <f t="shared" si="21"/>
        <v>0</v>
      </c>
      <c r="BE13" s="6">
        <v>7000</v>
      </c>
      <c r="BF13" s="6">
        <v>0</v>
      </c>
      <c r="BG13" s="6">
        <v>7000</v>
      </c>
      <c r="BH13" s="6"/>
      <c r="BI13" s="21">
        <f t="shared" si="22"/>
        <v>0</v>
      </c>
      <c r="BJ13" s="6">
        <f t="shared" si="23"/>
        <v>0</v>
      </c>
      <c r="BK13" s="6">
        <f t="shared" si="24"/>
        <v>0</v>
      </c>
      <c r="BL13" s="6">
        <v>7000</v>
      </c>
      <c r="BM13" s="6">
        <v>0</v>
      </c>
      <c r="BN13" s="6">
        <v>7000</v>
      </c>
      <c r="BO13" s="6"/>
      <c r="BP13" s="21">
        <f t="shared" si="25"/>
        <v>0</v>
      </c>
      <c r="BQ13" s="6">
        <f t="shared" si="26"/>
        <v>0</v>
      </c>
      <c r="BR13" s="6">
        <f t="shared" si="27"/>
        <v>0</v>
      </c>
      <c r="BS13" s="6">
        <v>7000</v>
      </c>
      <c r="BT13" s="6">
        <v>0</v>
      </c>
      <c r="BU13" s="6">
        <v>7000</v>
      </c>
      <c r="BV13" s="6"/>
      <c r="BW13" s="21">
        <f t="shared" si="28"/>
        <v>0</v>
      </c>
      <c r="BX13" s="6">
        <f t="shared" si="29"/>
        <v>0</v>
      </c>
      <c r="BY13" s="6">
        <f t="shared" si="30"/>
        <v>0</v>
      </c>
      <c r="BZ13" s="6">
        <v>7000</v>
      </c>
      <c r="CA13" s="6">
        <v>0</v>
      </c>
      <c r="CB13" s="6">
        <v>7000</v>
      </c>
      <c r="CC13" s="6"/>
      <c r="CD13" s="21">
        <f t="shared" si="31"/>
        <v>0</v>
      </c>
      <c r="CE13" s="6">
        <f t="shared" si="32"/>
        <v>0</v>
      </c>
      <c r="CF13" s="6">
        <f t="shared" si="33"/>
        <v>0</v>
      </c>
      <c r="CG13" s="6">
        <v>7000</v>
      </c>
      <c r="CH13" s="6">
        <v>0</v>
      </c>
      <c r="CI13" s="6">
        <v>7000</v>
      </c>
      <c r="CJ13" s="6"/>
      <c r="CK13" s="5" t="s">
        <v>30</v>
      </c>
      <c r="CL13" s="14">
        <f t="shared" si="34"/>
        <v>0</v>
      </c>
      <c r="CM13" s="14">
        <v>0</v>
      </c>
      <c r="CN13" s="14">
        <v>0</v>
      </c>
      <c r="CO13" s="14"/>
      <c r="CP13" s="14">
        <f>'2017'!CS13</f>
        <v>135175</v>
      </c>
      <c r="CQ13" s="14">
        <f>CP13+F13+M13+T13+AA13+AH13+AO13+AX13+BE13+BL13+BS13+BZ13+CG13-65000</f>
        <v>154175</v>
      </c>
      <c r="CR13" s="3">
        <f t="shared" si="37"/>
        <v>4582</v>
      </c>
      <c r="CS13" s="41">
        <f t="shared" si="35"/>
        <v>158757</v>
      </c>
      <c r="CT13" s="14">
        <v>0</v>
      </c>
      <c r="CU13" s="14">
        <v>0</v>
      </c>
      <c r="CV13" s="14">
        <v>0</v>
      </c>
      <c r="CW13" s="14">
        <v>0</v>
      </c>
      <c r="CX13" s="14">
        <v>84000</v>
      </c>
    </row>
    <row r="14" spans="1:102">
      <c r="A14" s="3">
        <v>12</v>
      </c>
      <c r="B14" s="5" t="s">
        <v>31</v>
      </c>
      <c r="C14" s="7">
        <f>'2017'!CL14</f>
        <v>145650</v>
      </c>
      <c r="D14" s="6">
        <f t="shared" si="0"/>
        <v>3772</v>
      </c>
      <c r="E14" s="6">
        <f t="shared" si="1"/>
        <v>728</v>
      </c>
      <c r="F14" s="6">
        <v>500</v>
      </c>
      <c r="G14" s="6">
        <v>0</v>
      </c>
      <c r="H14" s="6">
        <v>5000</v>
      </c>
      <c r="I14" s="21"/>
      <c r="J14" s="21">
        <f t="shared" si="2"/>
        <v>141878</v>
      </c>
      <c r="K14" s="6">
        <f t="shared" si="3"/>
        <v>0</v>
      </c>
      <c r="L14" s="6">
        <f t="shared" si="36"/>
        <v>709</v>
      </c>
      <c r="M14" s="6">
        <v>500</v>
      </c>
      <c r="N14" s="6">
        <v>0</v>
      </c>
      <c r="O14" s="6">
        <v>1209</v>
      </c>
      <c r="P14" s="6">
        <v>1209</v>
      </c>
      <c r="Q14" s="21">
        <f t="shared" si="4"/>
        <v>143087</v>
      </c>
      <c r="R14" s="6">
        <f t="shared" si="5"/>
        <v>3785</v>
      </c>
      <c r="S14" s="6">
        <f t="shared" si="6"/>
        <v>715</v>
      </c>
      <c r="T14" s="6">
        <v>500</v>
      </c>
      <c r="U14" s="6">
        <v>0</v>
      </c>
      <c r="V14" s="6">
        <v>5000</v>
      </c>
      <c r="W14" s="6"/>
      <c r="X14" s="21">
        <f t="shared" si="7"/>
        <v>139302</v>
      </c>
      <c r="Y14" s="6">
        <f t="shared" si="8"/>
        <v>3803</v>
      </c>
      <c r="Z14" s="6">
        <f t="shared" si="9"/>
        <v>697</v>
      </c>
      <c r="AA14" s="6">
        <v>500</v>
      </c>
      <c r="AB14" s="6">
        <v>0</v>
      </c>
      <c r="AC14" s="6">
        <v>5000</v>
      </c>
      <c r="AD14" s="6"/>
      <c r="AE14" s="21">
        <f t="shared" si="10"/>
        <v>135499</v>
      </c>
      <c r="AF14" s="6">
        <f t="shared" si="11"/>
        <v>3823</v>
      </c>
      <c r="AG14" s="6">
        <f t="shared" si="12"/>
        <v>677</v>
      </c>
      <c r="AH14" s="6">
        <v>500</v>
      </c>
      <c r="AI14" s="6">
        <v>0</v>
      </c>
      <c r="AJ14" s="6">
        <v>5000</v>
      </c>
      <c r="AK14" s="6"/>
      <c r="AL14" s="21">
        <f t="shared" si="13"/>
        <v>131676</v>
      </c>
      <c r="AM14" s="6">
        <f t="shared" si="14"/>
        <v>0</v>
      </c>
      <c r="AN14" s="6">
        <f t="shared" si="15"/>
        <v>658</v>
      </c>
      <c r="AO14" s="6">
        <v>500</v>
      </c>
      <c r="AP14" s="6">
        <v>0</v>
      </c>
      <c r="AQ14" s="6">
        <v>1158</v>
      </c>
      <c r="AR14" s="6">
        <v>0</v>
      </c>
      <c r="AS14" s="6">
        <v>1158</v>
      </c>
      <c r="AU14" s="21">
        <f t="shared" si="16"/>
        <v>132834</v>
      </c>
      <c r="AV14" s="6">
        <f t="shared" si="17"/>
        <v>3836</v>
      </c>
      <c r="AW14" s="6">
        <f t="shared" si="18"/>
        <v>664</v>
      </c>
      <c r="AX14" s="6">
        <v>500</v>
      </c>
      <c r="AY14" s="6">
        <v>0</v>
      </c>
      <c r="AZ14" s="6">
        <v>5000</v>
      </c>
      <c r="BA14" s="6"/>
      <c r="BB14" s="21">
        <f t="shared" si="19"/>
        <v>128998</v>
      </c>
      <c r="BC14" s="6">
        <f t="shared" si="20"/>
        <v>3855</v>
      </c>
      <c r="BD14" s="6">
        <f t="shared" si="21"/>
        <v>645</v>
      </c>
      <c r="BE14" s="6">
        <v>500</v>
      </c>
      <c r="BF14" s="6">
        <v>0</v>
      </c>
      <c r="BG14" s="6">
        <v>5000</v>
      </c>
      <c r="BH14" s="6"/>
      <c r="BI14" s="21">
        <f t="shared" si="22"/>
        <v>125143</v>
      </c>
      <c r="BJ14" s="6">
        <f t="shared" si="23"/>
        <v>3874</v>
      </c>
      <c r="BK14" s="6">
        <f t="shared" si="24"/>
        <v>626</v>
      </c>
      <c r="BL14" s="6">
        <v>500</v>
      </c>
      <c r="BM14" s="6">
        <v>0</v>
      </c>
      <c r="BN14" s="6">
        <v>5000</v>
      </c>
      <c r="BO14" s="6"/>
      <c r="BP14" s="21">
        <f t="shared" si="25"/>
        <v>121269</v>
      </c>
      <c r="BQ14" s="6">
        <f t="shared" si="26"/>
        <v>3894</v>
      </c>
      <c r="BR14" s="6">
        <f t="shared" si="27"/>
        <v>606</v>
      </c>
      <c r="BS14" s="6">
        <v>500</v>
      </c>
      <c r="BT14" s="6">
        <v>0</v>
      </c>
      <c r="BU14" s="6">
        <v>5000</v>
      </c>
      <c r="BV14" s="6"/>
      <c r="BW14" s="21">
        <f t="shared" si="28"/>
        <v>117375</v>
      </c>
      <c r="BX14" s="6">
        <f t="shared" si="29"/>
        <v>913</v>
      </c>
      <c r="BY14" s="6">
        <f t="shared" si="30"/>
        <v>587</v>
      </c>
      <c r="BZ14" s="6">
        <v>500</v>
      </c>
      <c r="CA14" s="6">
        <v>0</v>
      </c>
      <c r="CB14" s="21">
        <v>2000</v>
      </c>
      <c r="CC14" s="6"/>
      <c r="CD14" s="21">
        <f t="shared" si="31"/>
        <v>116462</v>
      </c>
      <c r="CE14" s="6">
        <f t="shared" si="32"/>
        <v>3918</v>
      </c>
      <c r="CF14" s="6">
        <f t="shared" si="33"/>
        <v>582</v>
      </c>
      <c r="CG14" s="6">
        <v>500</v>
      </c>
      <c r="CH14" s="6">
        <v>0</v>
      </c>
      <c r="CI14" s="6">
        <v>5000</v>
      </c>
      <c r="CJ14" s="6"/>
      <c r="CK14" s="5" t="s">
        <v>31</v>
      </c>
      <c r="CL14" s="14">
        <f t="shared" si="34"/>
        <v>112544</v>
      </c>
      <c r="CM14" s="14">
        <v>112486</v>
      </c>
      <c r="CN14" s="14">
        <v>5000</v>
      </c>
      <c r="CO14" s="14"/>
      <c r="CP14" s="14">
        <f>'2017'!CS14</f>
        <v>45168</v>
      </c>
      <c r="CQ14" s="14">
        <f t="shared" si="38"/>
        <v>51168</v>
      </c>
      <c r="CR14" s="3">
        <f t="shared" si="37"/>
        <v>1521</v>
      </c>
      <c r="CS14" s="41">
        <f t="shared" si="35"/>
        <v>52689</v>
      </c>
      <c r="CT14" s="14">
        <v>36309</v>
      </c>
      <c r="CU14" s="14">
        <v>6296</v>
      </c>
      <c r="CV14" s="14">
        <v>10555</v>
      </c>
      <c r="CW14" s="14">
        <v>86790</v>
      </c>
      <c r="CX14" s="14">
        <v>12000</v>
      </c>
    </row>
    <row r="15" spans="1:102">
      <c r="A15" s="3">
        <v>13</v>
      </c>
      <c r="B15" s="5" t="s">
        <v>32</v>
      </c>
      <c r="C15" s="7">
        <f>'2017'!CL15</f>
        <v>27797</v>
      </c>
      <c r="D15" s="6">
        <f t="shared" si="0"/>
        <v>3361</v>
      </c>
      <c r="E15" s="6">
        <f t="shared" si="1"/>
        <v>139</v>
      </c>
      <c r="F15" s="6">
        <v>500</v>
      </c>
      <c r="G15" s="6">
        <v>1000</v>
      </c>
      <c r="H15" s="6">
        <v>5000</v>
      </c>
      <c r="I15" s="21">
        <v>40000</v>
      </c>
      <c r="J15" s="21">
        <f t="shared" si="2"/>
        <v>64436</v>
      </c>
      <c r="K15" s="6">
        <f t="shared" si="3"/>
        <v>2178</v>
      </c>
      <c r="L15" s="6">
        <f t="shared" si="36"/>
        <v>322</v>
      </c>
      <c r="M15" s="6">
        <v>500</v>
      </c>
      <c r="N15" s="6">
        <v>1000</v>
      </c>
      <c r="O15" s="6">
        <v>4000</v>
      </c>
      <c r="P15" s="6"/>
      <c r="Q15" s="21">
        <f t="shared" si="4"/>
        <v>62258</v>
      </c>
      <c r="R15" s="6">
        <f t="shared" si="5"/>
        <v>2189</v>
      </c>
      <c r="S15" s="6">
        <f t="shared" si="6"/>
        <v>311</v>
      </c>
      <c r="T15" s="6">
        <v>500</v>
      </c>
      <c r="U15" s="6">
        <v>1000</v>
      </c>
      <c r="V15" s="6">
        <v>4000</v>
      </c>
      <c r="W15" s="6"/>
      <c r="X15" s="21">
        <f t="shared" si="7"/>
        <v>60069</v>
      </c>
      <c r="Y15" s="6">
        <f t="shared" si="8"/>
        <v>2200</v>
      </c>
      <c r="Z15" s="6">
        <f t="shared" si="9"/>
        <v>300</v>
      </c>
      <c r="AA15" s="6">
        <v>500</v>
      </c>
      <c r="AB15" s="6">
        <v>1000</v>
      </c>
      <c r="AC15" s="6">
        <v>4000</v>
      </c>
      <c r="AD15" s="6"/>
      <c r="AE15" s="21">
        <f t="shared" si="10"/>
        <v>57869</v>
      </c>
      <c r="AF15" s="6">
        <f t="shared" si="11"/>
        <v>2211</v>
      </c>
      <c r="AG15" s="6">
        <f t="shared" si="12"/>
        <v>289</v>
      </c>
      <c r="AH15" s="6">
        <v>500</v>
      </c>
      <c r="AI15" s="6">
        <v>1000</v>
      </c>
      <c r="AJ15" s="6">
        <v>4000</v>
      </c>
      <c r="AK15" s="6"/>
      <c r="AL15" s="21">
        <f t="shared" si="13"/>
        <v>55658</v>
      </c>
      <c r="AM15" s="6">
        <f t="shared" si="14"/>
        <v>3222</v>
      </c>
      <c r="AN15" s="6">
        <f t="shared" si="15"/>
        <v>278</v>
      </c>
      <c r="AO15" s="6">
        <v>500</v>
      </c>
      <c r="AP15" s="6">
        <v>0</v>
      </c>
      <c r="AQ15" s="6">
        <v>4000</v>
      </c>
      <c r="AR15" s="6">
        <v>10000</v>
      </c>
      <c r="AS15" s="6">
        <v>40000</v>
      </c>
      <c r="AU15" s="21">
        <f t="shared" si="16"/>
        <v>92436</v>
      </c>
      <c r="AV15" s="6">
        <f t="shared" si="17"/>
        <v>10000</v>
      </c>
      <c r="AW15" s="6">
        <f t="shared" si="18"/>
        <v>462</v>
      </c>
      <c r="AX15" s="6">
        <v>500</v>
      </c>
      <c r="AY15" s="6">
        <v>0</v>
      </c>
      <c r="AZ15" s="6">
        <v>10962</v>
      </c>
      <c r="BA15" s="6">
        <v>962</v>
      </c>
      <c r="BB15" s="21">
        <f t="shared" si="19"/>
        <v>83398</v>
      </c>
      <c r="BC15" s="6">
        <f t="shared" si="20"/>
        <v>3083</v>
      </c>
      <c r="BD15" s="6">
        <f t="shared" si="21"/>
        <v>417</v>
      </c>
      <c r="BE15" s="6">
        <v>500</v>
      </c>
      <c r="BF15" s="6">
        <v>1000</v>
      </c>
      <c r="BG15" s="6">
        <v>5000</v>
      </c>
      <c r="BH15" s="6"/>
      <c r="BI15" s="21">
        <f t="shared" si="22"/>
        <v>80315</v>
      </c>
      <c r="BJ15" s="6">
        <f t="shared" si="23"/>
        <v>3098</v>
      </c>
      <c r="BK15" s="6">
        <f t="shared" si="24"/>
        <v>402</v>
      </c>
      <c r="BL15" s="6">
        <v>500</v>
      </c>
      <c r="BM15" s="6">
        <v>1000</v>
      </c>
      <c r="BN15" s="6">
        <v>5000</v>
      </c>
      <c r="BO15" s="6"/>
      <c r="BP15" s="21">
        <f t="shared" si="25"/>
        <v>77217</v>
      </c>
      <c r="BQ15" s="6">
        <f t="shared" si="26"/>
        <v>2114</v>
      </c>
      <c r="BR15" s="6">
        <f t="shared" si="27"/>
        <v>386</v>
      </c>
      <c r="BS15" s="6">
        <v>500</v>
      </c>
      <c r="BT15" s="6">
        <v>1000</v>
      </c>
      <c r="BU15" s="6">
        <v>4000</v>
      </c>
      <c r="BV15" s="6">
        <v>40000</v>
      </c>
      <c r="BW15" s="21">
        <f t="shared" si="28"/>
        <v>115103</v>
      </c>
      <c r="BX15" s="6">
        <f t="shared" si="29"/>
        <v>2924</v>
      </c>
      <c r="BY15" s="6">
        <f t="shared" si="30"/>
        <v>576</v>
      </c>
      <c r="BZ15" s="6">
        <v>500</v>
      </c>
      <c r="CA15" s="6">
        <v>1000</v>
      </c>
      <c r="CB15" s="6">
        <v>5000</v>
      </c>
      <c r="CC15" s="6"/>
      <c r="CD15" s="21">
        <f t="shared" si="31"/>
        <v>112179</v>
      </c>
      <c r="CE15" s="6">
        <f t="shared" si="32"/>
        <v>2939</v>
      </c>
      <c r="CF15" s="6">
        <f t="shared" si="33"/>
        <v>561</v>
      </c>
      <c r="CG15" s="6">
        <v>500</v>
      </c>
      <c r="CH15" s="6">
        <v>1000</v>
      </c>
      <c r="CI15" s="6">
        <v>5000</v>
      </c>
      <c r="CJ15" s="6"/>
      <c r="CK15" s="5" t="s">
        <v>32</v>
      </c>
      <c r="CL15" s="14">
        <f t="shared" si="34"/>
        <v>109240</v>
      </c>
      <c r="CM15" s="14">
        <v>109188</v>
      </c>
      <c r="CN15" s="14">
        <v>0</v>
      </c>
      <c r="CO15" s="14">
        <v>10000</v>
      </c>
      <c r="CP15" s="14">
        <f>'2017'!CS15</f>
        <v>47222</v>
      </c>
      <c r="CQ15" s="14">
        <f t="shared" si="38"/>
        <v>53222</v>
      </c>
      <c r="CR15" s="3">
        <f t="shared" si="37"/>
        <v>1582</v>
      </c>
      <c r="CS15" s="41">
        <f t="shared" si="35"/>
        <v>54804</v>
      </c>
      <c r="CT15" s="14">
        <v>38804</v>
      </c>
      <c r="CU15" s="14">
        <v>5752</v>
      </c>
      <c r="CV15" s="14">
        <v>6956</v>
      </c>
      <c r="CW15" s="14">
        <v>77392</v>
      </c>
      <c r="CX15" s="14">
        <v>12000</v>
      </c>
    </row>
    <row r="16" spans="1:102">
      <c r="A16" s="3">
        <v>14</v>
      </c>
      <c r="B16" s="5" t="s">
        <v>33</v>
      </c>
      <c r="C16" s="7">
        <f>'2017'!CL16</f>
        <v>810</v>
      </c>
      <c r="D16" s="6">
        <f t="shared" si="0"/>
        <v>-4</v>
      </c>
      <c r="E16" s="6">
        <f t="shared" si="1"/>
        <v>4</v>
      </c>
      <c r="F16" s="6">
        <v>500</v>
      </c>
      <c r="G16" s="6">
        <v>1500</v>
      </c>
      <c r="H16" s="6">
        <v>2000</v>
      </c>
      <c r="I16" s="21"/>
      <c r="J16" s="21">
        <f t="shared" si="2"/>
        <v>814</v>
      </c>
      <c r="K16" s="6">
        <f t="shared" si="3"/>
        <v>0</v>
      </c>
      <c r="L16" s="6">
        <f t="shared" si="36"/>
        <v>4</v>
      </c>
      <c r="M16" s="6">
        <v>500</v>
      </c>
      <c r="N16" s="6">
        <v>1500</v>
      </c>
      <c r="O16" s="6">
        <v>2004</v>
      </c>
      <c r="P16" s="6"/>
      <c r="Q16" s="21">
        <f t="shared" si="4"/>
        <v>814</v>
      </c>
      <c r="R16" s="6">
        <f t="shared" si="5"/>
        <v>-4</v>
      </c>
      <c r="S16" s="6">
        <f t="shared" si="6"/>
        <v>4</v>
      </c>
      <c r="T16" s="6">
        <v>500</v>
      </c>
      <c r="U16" s="6">
        <v>1500</v>
      </c>
      <c r="V16" s="6">
        <v>2000</v>
      </c>
      <c r="W16" s="6"/>
      <c r="X16" s="21">
        <f t="shared" si="7"/>
        <v>818</v>
      </c>
      <c r="Y16" s="6">
        <f t="shared" si="8"/>
        <v>814</v>
      </c>
      <c r="Z16" s="6">
        <f t="shared" si="9"/>
        <v>4</v>
      </c>
      <c r="AA16" s="6">
        <v>500</v>
      </c>
      <c r="AB16" s="6">
        <v>1500</v>
      </c>
      <c r="AC16" s="6">
        <v>2818</v>
      </c>
      <c r="AD16" s="6"/>
      <c r="AE16" s="21">
        <f t="shared" si="10"/>
        <v>4</v>
      </c>
      <c r="AF16" s="6">
        <f t="shared" si="11"/>
        <v>0</v>
      </c>
      <c r="AG16" s="6">
        <f t="shared" si="12"/>
        <v>0</v>
      </c>
      <c r="AH16" s="6">
        <v>500</v>
      </c>
      <c r="AI16" s="6">
        <v>1500</v>
      </c>
      <c r="AJ16" s="6">
        <v>2000</v>
      </c>
      <c r="AK16" s="6">
        <v>15600</v>
      </c>
      <c r="AL16" s="21">
        <f t="shared" si="13"/>
        <v>15604</v>
      </c>
      <c r="AM16" s="6">
        <f t="shared" si="14"/>
        <v>1522</v>
      </c>
      <c r="AN16" s="6">
        <f t="shared" si="15"/>
        <v>78</v>
      </c>
      <c r="AO16" s="6">
        <v>500</v>
      </c>
      <c r="AP16" s="6">
        <v>0</v>
      </c>
      <c r="AQ16" s="6">
        <v>2100</v>
      </c>
      <c r="AR16" s="6">
        <v>10000</v>
      </c>
      <c r="AS16" s="6"/>
      <c r="AU16" s="21">
        <f t="shared" si="16"/>
        <v>14082</v>
      </c>
      <c r="AV16" s="6">
        <f t="shared" si="17"/>
        <v>11430</v>
      </c>
      <c r="AW16" s="6">
        <f t="shared" si="18"/>
        <v>70</v>
      </c>
      <c r="AX16" s="6">
        <v>500</v>
      </c>
      <c r="AY16" s="6">
        <v>0</v>
      </c>
      <c r="AZ16" s="6">
        <v>12000</v>
      </c>
      <c r="BA16" s="6"/>
      <c r="BB16" s="21">
        <f t="shared" si="19"/>
        <v>2652</v>
      </c>
      <c r="BC16" s="6">
        <f t="shared" si="20"/>
        <v>487</v>
      </c>
      <c r="BD16" s="6">
        <f t="shared" si="21"/>
        <v>13</v>
      </c>
      <c r="BE16" s="6">
        <v>500</v>
      </c>
      <c r="BF16" s="6">
        <v>1000</v>
      </c>
      <c r="BG16" s="6">
        <v>2000</v>
      </c>
      <c r="BH16" s="6"/>
      <c r="BI16" s="21">
        <f t="shared" si="22"/>
        <v>2165</v>
      </c>
      <c r="BJ16" s="6">
        <f t="shared" si="23"/>
        <v>489</v>
      </c>
      <c r="BK16" s="6">
        <f t="shared" si="24"/>
        <v>11</v>
      </c>
      <c r="BL16" s="6">
        <v>500</v>
      </c>
      <c r="BM16" s="6">
        <v>1000</v>
      </c>
      <c r="BN16" s="6">
        <v>2000</v>
      </c>
      <c r="BO16" s="6">
        <v>50000</v>
      </c>
      <c r="BP16" s="21">
        <f t="shared" si="25"/>
        <v>51676</v>
      </c>
      <c r="BQ16" s="6">
        <f t="shared" si="26"/>
        <v>242</v>
      </c>
      <c r="BR16" s="6">
        <f t="shared" si="27"/>
        <v>258</v>
      </c>
      <c r="BS16" s="6">
        <v>500</v>
      </c>
      <c r="BT16" s="6">
        <v>1000</v>
      </c>
      <c r="BU16" s="6">
        <v>2000</v>
      </c>
      <c r="BV16" s="6"/>
      <c r="BW16" s="21">
        <f t="shared" si="28"/>
        <v>51434</v>
      </c>
      <c r="BX16" s="6">
        <f t="shared" si="29"/>
        <v>3243</v>
      </c>
      <c r="BY16" s="6">
        <f t="shared" si="30"/>
        <v>257</v>
      </c>
      <c r="BZ16" s="6">
        <v>500</v>
      </c>
      <c r="CA16" s="6">
        <v>1000</v>
      </c>
      <c r="CB16" s="6">
        <v>5000</v>
      </c>
      <c r="CC16" s="6"/>
      <c r="CD16" s="21">
        <f t="shared" si="31"/>
        <v>48191</v>
      </c>
      <c r="CE16" s="6">
        <f t="shared" si="32"/>
        <v>3259</v>
      </c>
      <c r="CF16" s="6">
        <f t="shared" si="33"/>
        <v>241</v>
      </c>
      <c r="CG16" s="6">
        <v>500</v>
      </c>
      <c r="CH16" s="6">
        <v>1000</v>
      </c>
      <c r="CI16" s="6">
        <v>5000</v>
      </c>
      <c r="CJ16" s="6"/>
      <c r="CK16" s="5" t="s">
        <v>33</v>
      </c>
      <c r="CL16" s="14">
        <f t="shared" si="34"/>
        <v>44932</v>
      </c>
      <c r="CM16" s="14">
        <v>56114</v>
      </c>
      <c r="CN16" s="14">
        <v>5000</v>
      </c>
      <c r="CO16" s="14">
        <v>5000</v>
      </c>
      <c r="CP16" s="14">
        <f>'2017'!CS16</f>
        <v>41893</v>
      </c>
      <c r="CQ16" s="14">
        <f t="shared" si="38"/>
        <v>47893</v>
      </c>
      <c r="CR16" s="3">
        <f t="shared" si="37"/>
        <v>1424</v>
      </c>
      <c r="CS16" s="41">
        <f t="shared" si="35"/>
        <v>49317</v>
      </c>
      <c r="CT16" s="14">
        <v>25172</v>
      </c>
      <c r="CU16" s="14">
        <v>1927</v>
      </c>
      <c r="CV16" s="14">
        <v>52099</v>
      </c>
      <c r="CW16" s="14">
        <v>71939</v>
      </c>
      <c r="CX16" s="14">
        <v>12000</v>
      </c>
    </row>
    <row r="17" spans="1:102">
      <c r="A17" s="3">
        <v>15</v>
      </c>
      <c r="B17" s="5" t="s">
        <v>34</v>
      </c>
      <c r="C17" s="7">
        <f>'2017'!CL17</f>
        <v>6</v>
      </c>
      <c r="D17" s="6">
        <f t="shared" si="0"/>
        <v>0</v>
      </c>
      <c r="E17" s="6">
        <f t="shared" si="1"/>
        <v>0</v>
      </c>
      <c r="F17" s="6">
        <v>1000</v>
      </c>
      <c r="G17" s="6">
        <v>700</v>
      </c>
      <c r="H17" s="6">
        <v>1700</v>
      </c>
      <c r="I17" s="21"/>
      <c r="J17" s="21">
        <f t="shared" si="2"/>
        <v>6</v>
      </c>
      <c r="K17" s="6">
        <f t="shared" si="3"/>
        <v>0</v>
      </c>
      <c r="L17" s="6">
        <f t="shared" si="36"/>
        <v>0</v>
      </c>
      <c r="M17" s="6">
        <v>1000</v>
      </c>
      <c r="N17" s="6">
        <v>700</v>
      </c>
      <c r="O17" s="6">
        <v>1700</v>
      </c>
      <c r="P17" s="6"/>
      <c r="Q17" s="21">
        <f t="shared" si="4"/>
        <v>6</v>
      </c>
      <c r="R17" s="6">
        <f t="shared" si="5"/>
        <v>0</v>
      </c>
      <c r="S17" s="6">
        <f t="shared" si="6"/>
        <v>0</v>
      </c>
      <c r="T17" s="6">
        <v>1000</v>
      </c>
      <c r="U17" s="6">
        <v>700</v>
      </c>
      <c r="V17" s="6">
        <v>1700</v>
      </c>
      <c r="W17" s="6"/>
      <c r="X17" s="21">
        <f t="shared" si="7"/>
        <v>6</v>
      </c>
      <c r="Y17" s="6">
        <f t="shared" si="8"/>
        <v>0</v>
      </c>
      <c r="Z17" s="6">
        <f t="shared" si="9"/>
        <v>0</v>
      </c>
      <c r="AA17" s="6">
        <v>1000</v>
      </c>
      <c r="AB17" s="6">
        <v>700</v>
      </c>
      <c r="AC17" s="6">
        <v>1700</v>
      </c>
      <c r="AD17" s="6">
        <v>0</v>
      </c>
      <c r="AE17" s="21">
        <f t="shared" si="10"/>
        <v>6</v>
      </c>
      <c r="AF17" s="6">
        <f t="shared" si="11"/>
        <v>0</v>
      </c>
      <c r="AG17" s="6">
        <f t="shared" si="12"/>
        <v>0</v>
      </c>
      <c r="AH17" s="6">
        <v>1000</v>
      </c>
      <c r="AI17" s="6">
        <v>700</v>
      </c>
      <c r="AJ17" s="6">
        <v>1700</v>
      </c>
      <c r="AK17" s="6"/>
      <c r="AL17" s="21">
        <f t="shared" si="13"/>
        <v>6</v>
      </c>
      <c r="AM17" s="6">
        <f t="shared" si="14"/>
        <v>0</v>
      </c>
      <c r="AN17" s="6">
        <f t="shared" si="15"/>
        <v>0</v>
      </c>
      <c r="AO17" s="6">
        <v>1000</v>
      </c>
      <c r="AP17" s="6">
        <v>0</v>
      </c>
      <c r="AQ17" s="6">
        <v>1000</v>
      </c>
      <c r="AR17" s="6">
        <v>0</v>
      </c>
      <c r="AS17" s="6"/>
      <c r="AU17" s="21">
        <f t="shared" si="16"/>
        <v>6</v>
      </c>
      <c r="AV17" s="6">
        <f t="shared" si="17"/>
        <v>0</v>
      </c>
      <c r="AW17" s="6">
        <f t="shared" si="18"/>
        <v>0</v>
      </c>
      <c r="AX17" s="6">
        <v>1000</v>
      </c>
      <c r="AY17" s="6">
        <v>0</v>
      </c>
      <c r="AZ17" s="6">
        <v>1000</v>
      </c>
      <c r="BA17" s="6"/>
      <c r="BB17" s="21">
        <f t="shared" si="19"/>
        <v>6</v>
      </c>
      <c r="BC17" s="6">
        <f t="shared" si="20"/>
        <v>0</v>
      </c>
      <c r="BD17" s="6">
        <f t="shared" si="21"/>
        <v>0</v>
      </c>
      <c r="BE17" s="6">
        <v>1000</v>
      </c>
      <c r="BF17" s="6">
        <v>1000</v>
      </c>
      <c r="BG17" s="6">
        <v>2000</v>
      </c>
      <c r="BH17" s="6"/>
      <c r="BI17" s="21">
        <f t="shared" si="22"/>
        <v>6</v>
      </c>
      <c r="BJ17" s="6">
        <f t="shared" si="23"/>
        <v>0</v>
      </c>
      <c r="BK17" s="6">
        <f t="shared" si="24"/>
        <v>0</v>
      </c>
      <c r="BL17" s="6">
        <v>1000</v>
      </c>
      <c r="BM17" s="6">
        <v>1000</v>
      </c>
      <c r="BN17" s="6">
        <v>2000</v>
      </c>
      <c r="BO17" s="6"/>
      <c r="BP17" s="21">
        <f t="shared" si="25"/>
        <v>6</v>
      </c>
      <c r="BQ17" s="6">
        <f t="shared" si="26"/>
        <v>0</v>
      </c>
      <c r="BR17" s="6">
        <f t="shared" si="27"/>
        <v>0</v>
      </c>
      <c r="BS17" s="6">
        <v>1000</v>
      </c>
      <c r="BT17" s="6">
        <v>1000</v>
      </c>
      <c r="BU17" s="6">
        <v>2000</v>
      </c>
      <c r="BV17" s="6">
        <v>50000</v>
      </c>
      <c r="BW17" s="21">
        <f t="shared" si="28"/>
        <v>50006</v>
      </c>
      <c r="BX17" s="6">
        <f t="shared" si="29"/>
        <v>4750</v>
      </c>
      <c r="BY17" s="6">
        <f t="shared" si="30"/>
        <v>250</v>
      </c>
      <c r="BZ17" s="6">
        <v>1000</v>
      </c>
      <c r="CA17" s="6">
        <v>1000</v>
      </c>
      <c r="CB17" s="6">
        <v>7000</v>
      </c>
      <c r="CC17" s="6"/>
      <c r="CD17" s="21">
        <f t="shared" si="31"/>
        <v>45256</v>
      </c>
      <c r="CE17" s="6">
        <f t="shared" si="32"/>
        <v>4774</v>
      </c>
      <c r="CF17" s="6">
        <f t="shared" si="33"/>
        <v>226</v>
      </c>
      <c r="CG17" s="6">
        <v>1000</v>
      </c>
      <c r="CH17" s="6">
        <v>1000</v>
      </c>
      <c r="CI17" s="6">
        <v>7000</v>
      </c>
      <c r="CJ17" s="6"/>
      <c r="CK17" s="5" t="s">
        <v>34</v>
      </c>
      <c r="CL17" s="14">
        <f t="shared" si="34"/>
        <v>40482</v>
      </c>
      <c r="CM17" s="14">
        <v>40476</v>
      </c>
      <c r="CN17" s="14">
        <v>5000</v>
      </c>
      <c r="CO17" s="14">
        <v>5000</v>
      </c>
      <c r="CP17" s="14">
        <f>'2017'!CS17</f>
        <v>32730</v>
      </c>
      <c r="CQ17" s="14">
        <f t="shared" si="38"/>
        <v>44730</v>
      </c>
      <c r="CR17" s="3">
        <f t="shared" si="37"/>
        <v>1329</v>
      </c>
      <c r="CS17" s="41">
        <f t="shared" si="35"/>
        <v>46059</v>
      </c>
      <c r="CT17" s="14">
        <v>40482</v>
      </c>
      <c r="CU17" s="14">
        <v>970</v>
      </c>
      <c r="CV17" s="14">
        <v>0</v>
      </c>
      <c r="CW17" s="14">
        <v>0</v>
      </c>
      <c r="CX17" s="14">
        <v>13248</v>
      </c>
    </row>
    <row r="18" spans="1:102">
      <c r="A18" s="3">
        <v>16</v>
      </c>
      <c r="B18" s="5" t="s">
        <v>35</v>
      </c>
      <c r="C18" s="7">
        <f>'2017'!CL18</f>
        <v>0</v>
      </c>
      <c r="D18" s="6">
        <f t="shared" si="0"/>
        <v>0</v>
      </c>
      <c r="E18" s="6">
        <f t="shared" si="1"/>
        <v>0</v>
      </c>
      <c r="F18" s="6">
        <v>1000</v>
      </c>
      <c r="G18" s="6">
        <v>0</v>
      </c>
      <c r="H18" s="6">
        <v>1000</v>
      </c>
      <c r="I18" s="21"/>
      <c r="J18" s="21">
        <f t="shared" si="2"/>
        <v>0</v>
      </c>
      <c r="K18" s="6">
        <f t="shared" si="3"/>
        <v>0</v>
      </c>
      <c r="L18" s="6">
        <f t="shared" si="36"/>
        <v>0</v>
      </c>
      <c r="M18" s="6">
        <v>1000</v>
      </c>
      <c r="N18" s="6">
        <v>0</v>
      </c>
      <c r="O18" s="6">
        <v>1000</v>
      </c>
      <c r="P18" s="6"/>
      <c r="Q18" s="21">
        <f t="shared" si="4"/>
        <v>0</v>
      </c>
      <c r="R18" s="6">
        <f t="shared" si="5"/>
        <v>0</v>
      </c>
      <c r="S18" s="6">
        <f t="shared" si="6"/>
        <v>0</v>
      </c>
      <c r="T18" s="6">
        <v>1000</v>
      </c>
      <c r="U18" s="6">
        <v>0</v>
      </c>
      <c r="V18" s="6">
        <v>1000</v>
      </c>
      <c r="W18" s="6"/>
      <c r="X18" s="21">
        <f t="shared" si="7"/>
        <v>0</v>
      </c>
      <c r="Y18" s="6">
        <f t="shared" si="8"/>
        <v>0</v>
      </c>
      <c r="Z18" s="6">
        <f t="shared" si="9"/>
        <v>0</v>
      </c>
      <c r="AA18" s="6">
        <v>1000</v>
      </c>
      <c r="AB18" s="6">
        <v>0</v>
      </c>
      <c r="AC18" s="6">
        <v>1000</v>
      </c>
      <c r="AD18" s="6"/>
      <c r="AE18" s="21">
        <f t="shared" si="10"/>
        <v>0</v>
      </c>
      <c r="AF18" s="6">
        <f t="shared" si="11"/>
        <v>0</v>
      </c>
      <c r="AG18" s="6">
        <f t="shared" si="12"/>
        <v>0</v>
      </c>
      <c r="AH18" s="6">
        <v>1000</v>
      </c>
      <c r="AI18" s="6">
        <v>0</v>
      </c>
      <c r="AJ18" s="6">
        <v>1000</v>
      </c>
      <c r="AK18" s="6"/>
      <c r="AL18" s="21">
        <f t="shared" si="13"/>
        <v>0</v>
      </c>
      <c r="AM18" s="6">
        <f t="shared" si="14"/>
        <v>0</v>
      </c>
      <c r="AN18" s="6">
        <f t="shared" si="15"/>
        <v>0</v>
      </c>
      <c r="AO18" s="6">
        <v>1000</v>
      </c>
      <c r="AP18" s="6">
        <v>0</v>
      </c>
      <c r="AQ18" s="6">
        <v>1000</v>
      </c>
      <c r="AR18" s="6">
        <v>0</v>
      </c>
      <c r="AS18" s="6"/>
      <c r="AU18" s="21">
        <f t="shared" si="16"/>
        <v>0</v>
      </c>
      <c r="AV18" s="6">
        <f t="shared" si="17"/>
        <v>0</v>
      </c>
      <c r="AW18" s="6">
        <f t="shared" si="18"/>
        <v>0</v>
      </c>
      <c r="AX18" s="6">
        <v>1000</v>
      </c>
      <c r="AY18" s="6">
        <v>0</v>
      </c>
      <c r="AZ18" s="6">
        <v>1000</v>
      </c>
      <c r="BA18" s="6"/>
      <c r="BB18" s="21">
        <f t="shared" si="19"/>
        <v>0</v>
      </c>
      <c r="BC18" s="6">
        <f t="shared" si="20"/>
        <v>0</v>
      </c>
      <c r="BD18" s="6">
        <f t="shared" si="21"/>
        <v>0</v>
      </c>
      <c r="BE18" s="6">
        <v>1000</v>
      </c>
      <c r="BF18" s="6">
        <v>0</v>
      </c>
      <c r="BG18" s="6">
        <v>1000</v>
      </c>
      <c r="BH18" s="6"/>
      <c r="BI18" s="21">
        <f t="shared" si="22"/>
        <v>0</v>
      </c>
      <c r="BJ18" s="6">
        <f t="shared" si="23"/>
        <v>0</v>
      </c>
      <c r="BK18" s="6">
        <f t="shared" si="24"/>
        <v>0</v>
      </c>
      <c r="BL18" s="6">
        <v>1000</v>
      </c>
      <c r="BM18" s="6">
        <v>0</v>
      </c>
      <c r="BN18" s="6">
        <v>1000</v>
      </c>
      <c r="BO18" s="6"/>
      <c r="BP18" s="21">
        <f t="shared" si="25"/>
        <v>0</v>
      </c>
      <c r="BQ18" s="6">
        <f t="shared" si="26"/>
        <v>0</v>
      </c>
      <c r="BR18" s="6">
        <f t="shared" si="27"/>
        <v>0</v>
      </c>
      <c r="BS18" s="6">
        <v>1000</v>
      </c>
      <c r="BT18" s="6">
        <v>0</v>
      </c>
      <c r="BU18" s="6">
        <v>1000</v>
      </c>
      <c r="BV18" s="6"/>
      <c r="BW18" s="21">
        <f t="shared" si="28"/>
        <v>0</v>
      </c>
      <c r="BX18" s="6">
        <f t="shared" si="29"/>
        <v>0</v>
      </c>
      <c r="BY18" s="6">
        <f t="shared" si="30"/>
        <v>0</v>
      </c>
      <c r="BZ18" s="6">
        <v>1000</v>
      </c>
      <c r="CA18" s="6">
        <v>0</v>
      </c>
      <c r="CB18" s="6">
        <v>1000</v>
      </c>
      <c r="CC18" s="6"/>
      <c r="CD18" s="21">
        <f t="shared" si="31"/>
        <v>0</v>
      </c>
      <c r="CE18" s="6">
        <f t="shared" si="32"/>
        <v>0</v>
      </c>
      <c r="CF18" s="6">
        <f t="shared" si="33"/>
        <v>0</v>
      </c>
      <c r="CG18" s="6">
        <v>1000</v>
      </c>
      <c r="CH18" s="6">
        <v>0</v>
      </c>
      <c r="CI18" s="6">
        <v>1000</v>
      </c>
      <c r="CJ18" s="6">
        <v>0</v>
      </c>
      <c r="CK18" s="5" t="s">
        <v>35</v>
      </c>
      <c r="CL18" s="14">
        <f t="shared" si="34"/>
        <v>0</v>
      </c>
      <c r="CM18" s="14">
        <v>50990</v>
      </c>
      <c r="CN18" s="14">
        <v>0</v>
      </c>
      <c r="CO18" s="14"/>
      <c r="CP18" s="14">
        <f>'2017'!CS18</f>
        <v>25241</v>
      </c>
      <c r="CQ18" s="14">
        <f t="shared" si="38"/>
        <v>37241</v>
      </c>
      <c r="CR18" s="3">
        <f t="shared" si="37"/>
        <v>1107</v>
      </c>
      <c r="CS18" s="41">
        <f t="shared" si="35"/>
        <v>38348</v>
      </c>
      <c r="CT18" s="14">
        <v>0</v>
      </c>
      <c r="CU18" s="14">
        <v>0</v>
      </c>
      <c r="CV18" s="14">
        <v>0</v>
      </c>
      <c r="CW18" s="14">
        <v>0</v>
      </c>
      <c r="CX18" s="14">
        <v>12000</v>
      </c>
    </row>
    <row r="19" spans="1:102">
      <c r="A19" s="3">
        <v>17</v>
      </c>
      <c r="B19" s="5" t="s">
        <v>36</v>
      </c>
      <c r="C19" s="7">
        <f>'2017'!CL19</f>
        <v>0</v>
      </c>
      <c r="D19" s="6">
        <f t="shared" si="0"/>
        <v>0</v>
      </c>
      <c r="E19" s="6">
        <f t="shared" si="1"/>
        <v>0</v>
      </c>
      <c r="F19" s="6">
        <v>1000</v>
      </c>
      <c r="G19" s="6">
        <v>700</v>
      </c>
      <c r="H19" s="6">
        <v>1700</v>
      </c>
      <c r="I19" s="21">
        <v>50000</v>
      </c>
      <c r="J19" s="21">
        <f t="shared" si="2"/>
        <v>50000</v>
      </c>
      <c r="K19" s="6">
        <f t="shared" si="3"/>
        <v>50</v>
      </c>
      <c r="L19" s="6">
        <f t="shared" si="36"/>
        <v>250</v>
      </c>
      <c r="M19" s="6">
        <v>1000</v>
      </c>
      <c r="N19" s="6">
        <v>700</v>
      </c>
      <c r="O19" s="6">
        <v>2000</v>
      </c>
      <c r="P19" s="6">
        <v>50000</v>
      </c>
      <c r="Q19" s="21">
        <f t="shared" si="4"/>
        <v>99950</v>
      </c>
      <c r="R19" s="6">
        <f t="shared" si="5"/>
        <v>0</v>
      </c>
      <c r="S19" s="6">
        <f t="shared" si="6"/>
        <v>500</v>
      </c>
      <c r="T19" s="6">
        <v>1000</v>
      </c>
      <c r="U19" s="6">
        <v>700</v>
      </c>
      <c r="V19" s="6">
        <v>2200</v>
      </c>
      <c r="W19" s="6">
        <v>2200</v>
      </c>
      <c r="X19" s="21">
        <f t="shared" si="7"/>
        <v>102150</v>
      </c>
      <c r="Y19" s="6">
        <f t="shared" si="8"/>
        <v>-11</v>
      </c>
      <c r="Z19" s="6">
        <f t="shared" si="9"/>
        <v>511</v>
      </c>
      <c r="AA19" s="6">
        <v>1000</v>
      </c>
      <c r="AB19" s="6">
        <v>700</v>
      </c>
      <c r="AC19" s="6">
        <v>2200</v>
      </c>
      <c r="AD19" s="6"/>
      <c r="AE19" s="21">
        <f t="shared" si="10"/>
        <v>102161</v>
      </c>
      <c r="AF19" s="6">
        <f t="shared" si="11"/>
        <v>-11</v>
      </c>
      <c r="AG19" s="6">
        <f t="shared" si="12"/>
        <v>511</v>
      </c>
      <c r="AH19" s="6">
        <v>1000</v>
      </c>
      <c r="AI19" s="6">
        <v>700</v>
      </c>
      <c r="AJ19" s="6">
        <v>2200</v>
      </c>
      <c r="AK19" s="6"/>
      <c r="AL19" s="21">
        <f t="shared" si="13"/>
        <v>102172</v>
      </c>
      <c r="AM19" s="6">
        <f t="shared" si="14"/>
        <v>489</v>
      </c>
      <c r="AN19" s="6">
        <f t="shared" si="15"/>
        <v>511</v>
      </c>
      <c r="AO19" s="6">
        <v>1000</v>
      </c>
      <c r="AP19" s="6">
        <v>0</v>
      </c>
      <c r="AQ19" s="6">
        <v>2000</v>
      </c>
      <c r="AR19" s="6">
        <v>10000</v>
      </c>
      <c r="AS19" s="6"/>
      <c r="AU19" s="21">
        <f t="shared" si="16"/>
        <v>101683</v>
      </c>
      <c r="AV19" s="6">
        <f t="shared" si="17"/>
        <v>10492</v>
      </c>
      <c r="AW19" s="6">
        <f t="shared" si="18"/>
        <v>508</v>
      </c>
      <c r="AX19" s="6">
        <v>1000</v>
      </c>
      <c r="AY19" s="6">
        <v>0</v>
      </c>
      <c r="AZ19" s="6">
        <v>12000</v>
      </c>
      <c r="BA19" s="6"/>
      <c r="BB19" s="21">
        <f t="shared" si="19"/>
        <v>91191</v>
      </c>
      <c r="BC19" s="6">
        <f t="shared" si="20"/>
        <v>44</v>
      </c>
      <c r="BD19" s="6">
        <f t="shared" si="21"/>
        <v>456</v>
      </c>
      <c r="BE19" s="6">
        <v>1000</v>
      </c>
      <c r="BF19" s="6">
        <v>1000</v>
      </c>
      <c r="BG19" s="6">
        <v>2500</v>
      </c>
      <c r="BH19" s="6"/>
      <c r="BI19" s="21">
        <f t="shared" si="22"/>
        <v>91147</v>
      </c>
      <c r="BJ19" s="6">
        <f t="shared" si="23"/>
        <v>44</v>
      </c>
      <c r="BK19" s="6">
        <f t="shared" si="24"/>
        <v>456</v>
      </c>
      <c r="BL19" s="6">
        <v>1000</v>
      </c>
      <c r="BM19" s="6">
        <v>1000</v>
      </c>
      <c r="BN19" s="6">
        <v>2500</v>
      </c>
      <c r="BO19" s="6">
        <v>20000</v>
      </c>
      <c r="BP19" s="21">
        <f t="shared" si="25"/>
        <v>111103</v>
      </c>
      <c r="BQ19" s="6">
        <f t="shared" si="26"/>
        <v>44</v>
      </c>
      <c r="BR19" s="6">
        <f t="shared" si="27"/>
        <v>556</v>
      </c>
      <c r="BS19" s="6">
        <v>1000</v>
      </c>
      <c r="BT19" s="6">
        <v>1000</v>
      </c>
      <c r="BU19" s="6">
        <v>2600</v>
      </c>
      <c r="BV19" s="6"/>
      <c r="BW19" s="21">
        <f t="shared" si="28"/>
        <v>111059</v>
      </c>
      <c r="BX19" s="6">
        <f t="shared" si="29"/>
        <v>1445</v>
      </c>
      <c r="BY19" s="6">
        <f t="shared" si="30"/>
        <v>555</v>
      </c>
      <c r="BZ19" s="6">
        <v>1000</v>
      </c>
      <c r="CA19" s="6">
        <v>1000</v>
      </c>
      <c r="CB19" s="6">
        <v>4000</v>
      </c>
      <c r="CC19" s="6"/>
      <c r="CD19" s="21">
        <f t="shared" si="31"/>
        <v>109614</v>
      </c>
      <c r="CE19" s="6">
        <f t="shared" si="32"/>
        <v>2</v>
      </c>
      <c r="CF19" s="6">
        <f t="shared" si="33"/>
        <v>548</v>
      </c>
      <c r="CG19" s="6">
        <v>1000</v>
      </c>
      <c r="CH19" s="6">
        <v>1000</v>
      </c>
      <c r="CI19" s="6">
        <v>2550</v>
      </c>
      <c r="CJ19" s="6"/>
      <c r="CK19" s="5" t="s">
        <v>36</v>
      </c>
      <c r="CL19" s="14">
        <f t="shared" si="34"/>
        <v>109612</v>
      </c>
      <c r="CM19" s="14">
        <v>109560</v>
      </c>
      <c r="CN19" s="14">
        <v>0</v>
      </c>
      <c r="CO19" s="14">
        <v>10000</v>
      </c>
      <c r="CP19" s="14">
        <f>'2017'!CS19</f>
        <v>31507</v>
      </c>
      <c r="CQ19" s="14">
        <f t="shared" si="38"/>
        <v>43507</v>
      </c>
      <c r="CR19" s="3">
        <f t="shared" si="37"/>
        <v>1293</v>
      </c>
      <c r="CS19" s="41">
        <f t="shared" si="35"/>
        <v>44800</v>
      </c>
      <c r="CT19" s="14">
        <v>4381</v>
      </c>
      <c r="CU19" s="14">
        <v>6728</v>
      </c>
      <c r="CV19" s="14">
        <v>10109</v>
      </c>
      <c r="CW19" s="14">
        <v>115340</v>
      </c>
      <c r="CX19" s="14">
        <v>12000</v>
      </c>
    </row>
    <row r="20" spans="1:102">
      <c r="A20" s="3">
        <v>18</v>
      </c>
      <c r="B20" s="5" t="s">
        <v>37</v>
      </c>
      <c r="C20" s="7">
        <f>'2017'!CL20</f>
        <v>0</v>
      </c>
      <c r="D20" s="6">
        <f t="shared" si="0"/>
        <v>0</v>
      </c>
      <c r="E20" s="6">
        <f t="shared" si="1"/>
        <v>0</v>
      </c>
      <c r="F20" s="6">
        <v>700</v>
      </c>
      <c r="G20" s="6">
        <v>0</v>
      </c>
      <c r="H20" s="6">
        <v>700</v>
      </c>
      <c r="I20" s="21"/>
      <c r="J20" s="21">
        <f t="shared" si="2"/>
        <v>0</v>
      </c>
      <c r="K20" s="6">
        <f t="shared" si="3"/>
        <v>0</v>
      </c>
      <c r="L20" s="6">
        <f t="shared" si="36"/>
        <v>0</v>
      </c>
      <c r="M20" s="6">
        <v>700</v>
      </c>
      <c r="N20" s="6">
        <v>0</v>
      </c>
      <c r="O20" s="6">
        <v>700</v>
      </c>
      <c r="P20" s="6"/>
      <c r="Q20" s="21">
        <f t="shared" si="4"/>
        <v>0</v>
      </c>
      <c r="R20" s="6">
        <f t="shared" si="5"/>
        <v>0</v>
      </c>
      <c r="S20" s="6">
        <f t="shared" si="6"/>
        <v>0</v>
      </c>
      <c r="T20" s="6">
        <v>700</v>
      </c>
      <c r="U20" s="6">
        <v>0</v>
      </c>
      <c r="V20" s="6">
        <v>700</v>
      </c>
      <c r="W20" s="6"/>
      <c r="X20" s="21">
        <f t="shared" si="7"/>
        <v>0</v>
      </c>
      <c r="Y20" s="6">
        <f t="shared" si="8"/>
        <v>0</v>
      </c>
      <c r="Z20" s="6">
        <f t="shared" si="9"/>
        <v>0</v>
      </c>
      <c r="AA20" s="6">
        <v>700</v>
      </c>
      <c r="AB20" s="6">
        <v>0</v>
      </c>
      <c r="AC20" s="6">
        <v>700</v>
      </c>
      <c r="AD20" s="6"/>
      <c r="AE20" s="21">
        <f t="shared" si="10"/>
        <v>0</v>
      </c>
      <c r="AF20" s="6">
        <f t="shared" si="11"/>
        <v>0</v>
      </c>
      <c r="AG20" s="6">
        <f t="shared" si="12"/>
        <v>0</v>
      </c>
      <c r="AH20" s="6">
        <v>700</v>
      </c>
      <c r="AI20" s="6">
        <v>0</v>
      </c>
      <c r="AJ20" s="6">
        <v>700</v>
      </c>
      <c r="AK20" s="6"/>
      <c r="AL20" s="21">
        <f t="shared" si="13"/>
        <v>0</v>
      </c>
      <c r="AM20" s="6">
        <f t="shared" si="14"/>
        <v>0</v>
      </c>
      <c r="AN20" s="6">
        <f t="shared" si="15"/>
        <v>0</v>
      </c>
      <c r="AO20" s="6">
        <v>700</v>
      </c>
      <c r="AP20" s="6">
        <v>0</v>
      </c>
      <c r="AQ20" s="6">
        <v>700</v>
      </c>
      <c r="AR20" s="6">
        <v>0</v>
      </c>
      <c r="AS20" s="6"/>
      <c r="AU20" s="21">
        <f t="shared" si="16"/>
        <v>0</v>
      </c>
      <c r="AV20" s="6">
        <f t="shared" si="17"/>
        <v>0</v>
      </c>
      <c r="AW20" s="6">
        <f t="shared" si="18"/>
        <v>0</v>
      </c>
      <c r="AX20" s="6">
        <v>700</v>
      </c>
      <c r="AY20" s="6">
        <v>0</v>
      </c>
      <c r="AZ20" s="6">
        <v>700</v>
      </c>
      <c r="BA20" s="6"/>
      <c r="BB20" s="21">
        <f t="shared" si="19"/>
        <v>0</v>
      </c>
      <c r="BC20" s="6">
        <f t="shared" si="20"/>
        <v>0</v>
      </c>
      <c r="BD20" s="6">
        <f t="shared" si="21"/>
        <v>0</v>
      </c>
      <c r="BE20" s="6">
        <v>700</v>
      </c>
      <c r="BF20" s="6">
        <v>0</v>
      </c>
      <c r="BG20" s="6">
        <v>700</v>
      </c>
      <c r="BH20" s="6"/>
      <c r="BI20" s="21">
        <f t="shared" si="22"/>
        <v>0</v>
      </c>
      <c r="BJ20" s="6">
        <f t="shared" si="23"/>
        <v>0</v>
      </c>
      <c r="BK20" s="6">
        <f t="shared" si="24"/>
        <v>0</v>
      </c>
      <c r="BL20" s="6">
        <v>700</v>
      </c>
      <c r="BM20" s="6">
        <v>0</v>
      </c>
      <c r="BN20" s="6">
        <v>700</v>
      </c>
      <c r="BO20" s="6"/>
      <c r="BP20" s="21">
        <f t="shared" si="25"/>
        <v>0</v>
      </c>
      <c r="BQ20" s="6">
        <f t="shared" si="26"/>
        <v>0</v>
      </c>
      <c r="BR20" s="6">
        <f t="shared" si="27"/>
        <v>0</v>
      </c>
      <c r="BS20" s="6">
        <v>700</v>
      </c>
      <c r="BT20" s="6">
        <v>0</v>
      </c>
      <c r="BU20" s="6">
        <v>700</v>
      </c>
      <c r="BV20" s="6"/>
      <c r="BW20" s="21">
        <f t="shared" si="28"/>
        <v>0</v>
      </c>
      <c r="BX20" s="6">
        <f t="shared" si="29"/>
        <v>0</v>
      </c>
      <c r="BY20" s="6">
        <f t="shared" si="30"/>
        <v>0</v>
      </c>
      <c r="BZ20" s="6">
        <v>700</v>
      </c>
      <c r="CA20" s="6">
        <v>0</v>
      </c>
      <c r="CB20" s="6">
        <v>700</v>
      </c>
      <c r="CC20" s="6">
        <v>10000</v>
      </c>
      <c r="CD20" s="21">
        <f t="shared" si="31"/>
        <v>10000</v>
      </c>
      <c r="CE20" s="6">
        <f t="shared" si="32"/>
        <v>0</v>
      </c>
      <c r="CF20" s="6">
        <f t="shared" si="33"/>
        <v>50</v>
      </c>
      <c r="CG20" s="6">
        <v>700</v>
      </c>
      <c r="CH20" s="6">
        <v>0</v>
      </c>
      <c r="CI20" s="6">
        <v>750</v>
      </c>
      <c r="CJ20" s="6"/>
      <c r="CK20" s="5" t="s">
        <v>37</v>
      </c>
      <c r="CL20" s="14">
        <f t="shared" si="34"/>
        <v>10000</v>
      </c>
      <c r="CM20" s="14">
        <v>0</v>
      </c>
      <c r="CN20" s="14">
        <v>5000</v>
      </c>
      <c r="CO20" s="14">
        <v>5000</v>
      </c>
      <c r="CP20" s="14">
        <f>'2017'!CS20</f>
        <v>54068</v>
      </c>
      <c r="CQ20" s="14">
        <f t="shared" si="38"/>
        <v>62468</v>
      </c>
      <c r="CR20" s="3">
        <f t="shared" si="37"/>
        <v>1857</v>
      </c>
      <c r="CS20" s="41">
        <f t="shared" si="35"/>
        <v>64325</v>
      </c>
      <c r="CT20" s="14">
        <v>3627</v>
      </c>
      <c r="CU20" s="14">
        <v>373</v>
      </c>
      <c r="CV20" s="14">
        <v>25000</v>
      </c>
      <c r="CW20" s="14">
        <v>21373</v>
      </c>
      <c r="CX20" s="14">
        <v>6000</v>
      </c>
    </row>
    <row r="21" spans="1:102">
      <c r="A21" s="3">
        <v>19</v>
      </c>
      <c r="B21" s="5" t="s">
        <v>38</v>
      </c>
      <c r="C21" s="7">
        <f>'2017'!CL21</f>
        <v>0</v>
      </c>
      <c r="D21" s="6">
        <f t="shared" si="0"/>
        <v>0</v>
      </c>
      <c r="E21" s="6">
        <f t="shared" si="1"/>
        <v>0</v>
      </c>
      <c r="F21" s="6">
        <v>500</v>
      </c>
      <c r="G21" s="6">
        <v>700</v>
      </c>
      <c r="H21" s="6">
        <v>1200</v>
      </c>
      <c r="I21" s="21"/>
      <c r="J21" s="21">
        <f t="shared" si="2"/>
        <v>0</v>
      </c>
      <c r="K21" s="6">
        <f t="shared" si="3"/>
        <v>0</v>
      </c>
      <c r="L21" s="6">
        <f t="shared" si="36"/>
        <v>0</v>
      </c>
      <c r="M21" s="6">
        <v>500</v>
      </c>
      <c r="N21" s="6">
        <v>700</v>
      </c>
      <c r="O21" s="6">
        <v>1200</v>
      </c>
      <c r="P21" s="6"/>
      <c r="Q21" s="21">
        <f t="shared" si="4"/>
        <v>0</v>
      </c>
      <c r="R21" s="6">
        <f t="shared" si="5"/>
        <v>0</v>
      </c>
      <c r="S21" s="6">
        <f t="shared" si="6"/>
        <v>0</v>
      </c>
      <c r="T21" s="6">
        <v>500</v>
      </c>
      <c r="U21" s="6">
        <v>700</v>
      </c>
      <c r="V21" s="6">
        <v>1200</v>
      </c>
      <c r="W21" s="6"/>
      <c r="X21" s="21">
        <f t="shared" si="7"/>
        <v>0</v>
      </c>
      <c r="Y21" s="6">
        <f t="shared" si="8"/>
        <v>0</v>
      </c>
      <c r="Z21" s="6">
        <f t="shared" si="9"/>
        <v>0</v>
      </c>
      <c r="AA21" s="6">
        <v>500</v>
      </c>
      <c r="AB21" s="6">
        <v>700</v>
      </c>
      <c r="AC21" s="6">
        <v>1200</v>
      </c>
      <c r="AD21" s="6"/>
      <c r="AE21" s="21">
        <f t="shared" si="10"/>
        <v>0</v>
      </c>
      <c r="AF21" s="6">
        <f t="shared" si="11"/>
        <v>0</v>
      </c>
      <c r="AG21" s="6">
        <f t="shared" si="12"/>
        <v>0</v>
      </c>
      <c r="AH21" s="6">
        <v>500</v>
      </c>
      <c r="AI21" s="6">
        <v>700</v>
      </c>
      <c r="AJ21" s="6">
        <v>1200</v>
      </c>
      <c r="AK21" s="6"/>
      <c r="AL21" s="21">
        <f t="shared" si="13"/>
        <v>0</v>
      </c>
      <c r="AM21" s="6">
        <f t="shared" si="14"/>
        <v>0</v>
      </c>
      <c r="AN21" s="6">
        <f t="shared" si="15"/>
        <v>0</v>
      </c>
      <c r="AO21" s="6">
        <v>500</v>
      </c>
      <c r="AP21" s="6">
        <v>0</v>
      </c>
      <c r="AQ21" s="6">
        <v>500</v>
      </c>
      <c r="AR21" s="6">
        <v>0</v>
      </c>
      <c r="AS21" s="6"/>
      <c r="AU21" s="21">
        <f t="shared" si="16"/>
        <v>0</v>
      </c>
      <c r="AV21" s="6">
        <f t="shared" si="17"/>
        <v>0</v>
      </c>
      <c r="AW21" s="6">
        <f t="shared" si="18"/>
        <v>0</v>
      </c>
      <c r="AX21" s="6">
        <v>500</v>
      </c>
      <c r="AY21" s="6">
        <v>0</v>
      </c>
      <c r="AZ21" s="6">
        <v>500</v>
      </c>
      <c r="BA21" s="6"/>
      <c r="BB21" s="21">
        <f t="shared" si="19"/>
        <v>0</v>
      </c>
      <c r="BC21" s="6">
        <f t="shared" si="20"/>
        <v>0</v>
      </c>
      <c r="BD21" s="6">
        <f t="shared" si="21"/>
        <v>0</v>
      </c>
      <c r="BE21" s="6">
        <v>500</v>
      </c>
      <c r="BF21" s="6">
        <v>1000</v>
      </c>
      <c r="BG21" s="6">
        <v>1500</v>
      </c>
      <c r="BH21" s="6"/>
      <c r="BI21" s="21">
        <f t="shared" si="22"/>
        <v>0</v>
      </c>
      <c r="BJ21" s="6">
        <f t="shared" si="23"/>
        <v>0</v>
      </c>
      <c r="BK21" s="6">
        <f t="shared" si="24"/>
        <v>0</v>
      </c>
      <c r="BL21" s="6">
        <v>500</v>
      </c>
      <c r="BM21" s="6">
        <v>1000</v>
      </c>
      <c r="BN21" s="6">
        <v>1500</v>
      </c>
      <c r="BO21" s="6"/>
      <c r="BP21" s="21">
        <f t="shared" si="25"/>
        <v>0</v>
      </c>
      <c r="BQ21" s="6">
        <f t="shared" si="26"/>
        <v>0</v>
      </c>
      <c r="BR21" s="6">
        <f t="shared" si="27"/>
        <v>0</v>
      </c>
      <c r="BS21" s="6">
        <v>500</v>
      </c>
      <c r="BT21" s="6">
        <v>1000</v>
      </c>
      <c r="BU21" s="6">
        <v>1500</v>
      </c>
      <c r="BV21" s="6"/>
      <c r="BW21" s="21">
        <f t="shared" si="28"/>
        <v>0</v>
      </c>
      <c r="BX21" s="6">
        <f t="shared" si="29"/>
        <v>0</v>
      </c>
      <c r="BY21" s="6">
        <f t="shared" si="30"/>
        <v>0</v>
      </c>
      <c r="BZ21" s="6">
        <v>500</v>
      </c>
      <c r="CA21" s="6">
        <v>1000</v>
      </c>
      <c r="CB21" s="6">
        <v>1500</v>
      </c>
      <c r="CC21" s="6"/>
      <c r="CD21" s="21">
        <f t="shared" si="31"/>
        <v>0</v>
      </c>
      <c r="CE21" s="6">
        <f t="shared" si="32"/>
        <v>0</v>
      </c>
      <c r="CF21" s="6">
        <f t="shared" si="33"/>
        <v>0</v>
      </c>
      <c r="CG21" s="6">
        <v>500</v>
      </c>
      <c r="CH21" s="6">
        <v>1000</v>
      </c>
      <c r="CI21" s="6">
        <v>1500</v>
      </c>
      <c r="CJ21" s="6"/>
      <c r="CK21" s="5" t="s">
        <v>38</v>
      </c>
      <c r="CL21" s="14">
        <f t="shared" si="34"/>
        <v>0</v>
      </c>
      <c r="CM21" s="14">
        <v>63465</v>
      </c>
      <c r="CN21" s="14">
        <v>5000</v>
      </c>
      <c r="CO21" s="14">
        <v>5000</v>
      </c>
      <c r="CP21" s="14">
        <f>'2017'!CS21</f>
        <v>34043</v>
      </c>
      <c r="CQ21" s="14">
        <f t="shared" si="38"/>
        <v>40043</v>
      </c>
      <c r="CR21" s="3">
        <f t="shared" si="37"/>
        <v>1190</v>
      </c>
      <c r="CS21" s="41">
        <f t="shared" si="35"/>
        <v>41233</v>
      </c>
      <c r="CT21" s="14">
        <v>27740</v>
      </c>
      <c r="CU21" s="14">
        <v>4643</v>
      </c>
      <c r="CV21" s="14">
        <v>66783</v>
      </c>
      <c r="CW21" s="14">
        <v>102598</v>
      </c>
      <c r="CX21" s="14">
        <v>6000</v>
      </c>
    </row>
    <row r="22" spans="1:102">
      <c r="A22" s="3">
        <v>20</v>
      </c>
      <c r="B22" s="5" t="s">
        <v>71</v>
      </c>
      <c r="C22" s="7">
        <f>'2017'!CL22</f>
        <v>67558</v>
      </c>
      <c r="D22" s="6">
        <f t="shared" si="0"/>
        <v>462</v>
      </c>
      <c r="E22" s="6">
        <f t="shared" si="1"/>
        <v>338</v>
      </c>
      <c r="F22" s="6">
        <v>500</v>
      </c>
      <c r="G22" s="6">
        <v>700</v>
      </c>
      <c r="H22" s="6">
        <v>2000</v>
      </c>
      <c r="I22" s="21"/>
      <c r="J22" s="21">
        <f t="shared" si="2"/>
        <v>67096</v>
      </c>
      <c r="K22" s="6">
        <f t="shared" si="3"/>
        <v>2465</v>
      </c>
      <c r="L22" s="6">
        <f t="shared" si="36"/>
        <v>335</v>
      </c>
      <c r="M22" s="6">
        <v>500</v>
      </c>
      <c r="N22" s="6">
        <v>700</v>
      </c>
      <c r="O22" s="6">
        <v>4000</v>
      </c>
      <c r="P22" s="6"/>
      <c r="Q22" s="21">
        <f t="shared" si="4"/>
        <v>64631</v>
      </c>
      <c r="R22" s="6">
        <f t="shared" si="5"/>
        <v>2477</v>
      </c>
      <c r="S22" s="6">
        <f t="shared" si="6"/>
        <v>323</v>
      </c>
      <c r="T22" s="6">
        <v>500</v>
      </c>
      <c r="U22" s="6">
        <v>700</v>
      </c>
      <c r="V22" s="6">
        <v>4000</v>
      </c>
      <c r="W22" s="6"/>
      <c r="X22" s="21">
        <f t="shared" si="7"/>
        <v>62154</v>
      </c>
      <c r="Y22" s="6">
        <f t="shared" si="8"/>
        <v>3489</v>
      </c>
      <c r="Z22" s="6">
        <f t="shared" si="9"/>
        <v>311</v>
      </c>
      <c r="AA22" s="6">
        <v>500</v>
      </c>
      <c r="AB22" s="6">
        <v>700</v>
      </c>
      <c r="AC22" s="6">
        <v>5000</v>
      </c>
      <c r="AD22" s="6"/>
      <c r="AE22" s="21">
        <f t="shared" si="10"/>
        <v>58665</v>
      </c>
      <c r="AF22" s="6">
        <f t="shared" si="11"/>
        <v>1507</v>
      </c>
      <c r="AG22" s="6">
        <f t="shared" si="12"/>
        <v>293</v>
      </c>
      <c r="AH22" s="6">
        <v>500</v>
      </c>
      <c r="AI22" s="6">
        <v>700</v>
      </c>
      <c r="AJ22" s="6">
        <v>3000</v>
      </c>
      <c r="AK22" s="6"/>
      <c r="AL22" s="21">
        <f t="shared" si="13"/>
        <v>57158</v>
      </c>
      <c r="AM22" s="6">
        <f t="shared" si="14"/>
        <v>4214</v>
      </c>
      <c r="AN22" s="6">
        <f t="shared" si="15"/>
        <v>286</v>
      </c>
      <c r="AO22" s="6">
        <v>500</v>
      </c>
      <c r="AP22" s="6">
        <v>0</v>
      </c>
      <c r="AQ22" s="6">
        <v>5000</v>
      </c>
      <c r="AR22" s="6">
        <v>10000</v>
      </c>
      <c r="AS22" s="6">
        <v>15000</v>
      </c>
      <c r="AU22" s="21">
        <f t="shared" si="16"/>
        <v>67944</v>
      </c>
      <c r="AV22" s="6">
        <f t="shared" si="17"/>
        <v>11160</v>
      </c>
      <c r="AW22" s="6">
        <f t="shared" si="18"/>
        <v>340</v>
      </c>
      <c r="AX22" s="6">
        <v>500</v>
      </c>
      <c r="AY22" s="6">
        <v>0</v>
      </c>
      <c r="AZ22" s="6">
        <v>12000</v>
      </c>
      <c r="BA22" s="6"/>
      <c r="BB22" s="21">
        <f t="shared" si="19"/>
        <v>56784</v>
      </c>
      <c r="BC22" s="6">
        <f t="shared" si="20"/>
        <v>1216</v>
      </c>
      <c r="BD22" s="6">
        <f t="shared" si="21"/>
        <v>284</v>
      </c>
      <c r="BE22" s="6">
        <v>500</v>
      </c>
      <c r="BF22" s="6">
        <v>1000</v>
      </c>
      <c r="BG22" s="6">
        <v>3000</v>
      </c>
      <c r="BH22" s="6"/>
      <c r="BI22" s="21">
        <f t="shared" si="22"/>
        <v>55568</v>
      </c>
      <c r="BJ22" s="6">
        <f t="shared" si="23"/>
        <v>222</v>
      </c>
      <c r="BK22" s="6">
        <f t="shared" si="24"/>
        <v>278</v>
      </c>
      <c r="BL22" s="6">
        <v>500</v>
      </c>
      <c r="BM22" s="6">
        <v>1000</v>
      </c>
      <c r="BN22" s="6">
        <v>2000</v>
      </c>
      <c r="BO22" s="6"/>
      <c r="BP22" s="21">
        <f t="shared" si="25"/>
        <v>55346</v>
      </c>
      <c r="BQ22" s="6">
        <f t="shared" si="26"/>
        <v>223</v>
      </c>
      <c r="BR22" s="6">
        <f t="shared" si="27"/>
        <v>277</v>
      </c>
      <c r="BS22" s="6">
        <v>500</v>
      </c>
      <c r="BT22" s="6">
        <v>1000</v>
      </c>
      <c r="BU22" s="6">
        <v>2000</v>
      </c>
      <c r="BV22" s="6"/>
      <c r="BW22" s="21">
        <f t="shared" si="28"/>
        <v>55123</v>
      </c>
      <c r="BX22" s="6">
        <f t="shared" si="29"/>
        <v>224</v>
      </c>
      <c r="BY22" s="6">
        <f t="shared" si="30"/>
        <v>276</v>
      </c>
      <c r="BZ22" s="6">
        <v>500</v>
      </c>
      <c r="CA22" s="6">
        <v>1000</v>
      </c>
      <c r="CB22" s="6">
        <v>2000</v>
      </c>
      <c r="CC22" s="6">
        <v>8800</v>
      </c>
      <c r="CD22" s="21">
        <f t="shared" si="31"/>
        <v>63699</v>
      </c>
      <c r="CE22" s="6">
        <f t="shared" si="32"/>
        <v>182</v>
      </c>
      <c r="CF22" s="6">
        <f t="shared" si="33"/>
        <v>318</v>
      </c>
      <c r="CG22" s="6">
        <v>500</v>
      </c>
      <c r="CH22" s="6">
        <v>1000</v>
      </c>
      <c r="CI22" s="6">
        <v>2000</v>
      </c>
      <c r="CJ22" s="6"/>
      <c r="CK22" s="5" t="s">
        <v>91</v>
      </c>
      <c r="CL22" s="14">
        <f t="shared" si="34"/>
        <v>63517</v>
      </c>
      <c r="CM22" s="14"/>
      <c r="CN22" s="14"/>
      <c r="CO22" s="14"/>
      <c r="CP22" s="14">
        <f>'2017'!CS22</f>
        <v>6180</v>
      </c>
      <c r="CQ22" s="14">
        <f t="shared" si="38"/>
        <v>12180</v>
      </c>
      <c r="CR22" s="3">
        <f t="shared" si="37"/>
        <v>362</v>
      </c>
      <c r="CS22" s="41">
        <f t="shared" si="35"/>
        <v>12542</v>
      </c>
      <c r="CT22" s="14"/>
      <c r="CU22" s="14"/>
      <c r="CV22" s="14"/>
      <c r="CW22" s="14"/>
      <c r="CX22" s="14"/>
    </row>
    <row r="23" spans="1:102">
      <c r="A23" s="3">
        <v>21</v>
      </c>
      <c r="B23" s="5" t="s">
        <v>40</v>
      </c>
      <c r="C23" s="7">
        <f>'2017'!CL23</f>
        <v>1047</v>
      </c>
      <c r="D23" s="6">
        <f t="shared" si="0"/>
        <v>-5</v>
      </c>
      <c r="E23" s="6">
        <f t="shared" si="1"/>
        <v>5</v>
      </c>
      <c r="F23" s="6">
        <v>500</v>
      </c>
      <c r="G23" s="6">
        <v>0</v>
      </c>
      <c r="H23" s="6">
        <v>500</v>
      </c>
      <c r="I23" s="21">
        <v>0</v>
      </c>
      <c r="J23" s="21">
        <f t="shared" si="2"/>
        <v>1052</v>
      </c>
      <c r="K23" s="6">
        <f t="shared" si="3"/>
        <v>-5</v>
      </c>
      <c r="L23" s="6">
        <f t="shared" si="36"/>
        <v>5</v>
      </c>
      <c r="M23" s="6">
        <v>500</v>
      </c>
      <c r="N23" s="6">
        <v>0</v>
      </c>
      <c r="O23" s="6">
        <v>500</v>
      </c>
      <c r="P23" s="6">
        <v>0</v>
      </c>
      <c r="Q23" s="21">
        <f t="shared" si="4"/>
        <v>1057</v>
      </c>
      <c r="R23" s="6">
        <f t="shared" si="5"/>
        <v>-5</v>
      </c>
      <c r="S23" s="6">
        <f t="shared" si="6"/>
        <v>5</v>
      </c>
      <c r="T23" s="6">
        <v>500</v>
      </c>
      <c r="U23" s="6">
        <v>0</v>
      </c>
      <c r="V23" s="6">
        <v>500</v>
      </c>
      <c r="W23" s="6"/>
      <c r="X23" s="21">
        <f t="shared" si="7"/>
        <v>1062</v>
      </c>
      <c r="Y23" s="6">
        <f t="shared" si="8"/>
        <v>-5</v>
      </c>
      <c r="Z23" s="6">
        <f t="shared" si="9"/>
        <v>5</v>
      </c>
      <c r="AA23" s="6">
        <v>500</v>
      </c>
      <c r="AB23" s="6">
        <v>0</v>
      </c>
      <c r="AC23" s="6">
        <v>500</v>
      </c>
      <c r="AD23" s="6"/>
      <c r="AE23" s="21">
        <f t="shared" si="10"/>
        <v>1067</v>
      </c>
      <c r="AF23" s="6">
        <f t="shared" si="11"/>
        <v>0</v>
      </c>
      <c r="AG23" s="6">
        <f t="shared" si="12"/>
        <v>5</v>
      </c>
      <c r="AH23" s="6">
        <v>500</v>
      </c>
      <c r="AI23" s="6">
        <v>0</v>
      </c>
      <c r="AJ23" s="6">
        <v>505</v>
      </c>
      <c r="AK23" s="6">
        <v>505</v>
      </c>
      <c r="AL23" s="21">
        <f t="shared" si="13"/>
        <v>1572</v>
      </c>
      <c r="AM23" s="6">
        <f t="shared" si="14"/>
        <v>0</v>
      </c>
      <c r="AN23" s="6">
        <f t="shared" si="15"/>
        <v>8</v>
      </c>
      <c r="AO23" s="6">
        <v>500</v>
      </c>
      <c r="AP23" s="6">
        <v>0</v>
      </c>
      <c r="AQ23" s="6">
        <v>508</v>
      </c>
      <c r="AR23" s="6">
        <v>0</v>
      </c>
      <c r="AS23" s="6">
        <v>508</v>
      </c>
      <c r="AU23" s="21">
        <f t="shared" si="16"/>
        <v>2080</v>
      </c>
      <c r="AV23" s="6">
        <f t="shared" si="17"/>
        <v>0</v>
      </c>
      <c r="AW23" s="6">
        <f t="shared" si="18"/>
        <v>10</v>
      </c>
      <c r="AX23" s="6">
        <v>500</v>
      </c>
      <c r="AY23" s="6">
        <v>0</v>
      </c>
      <c r="AZ23" s="6">
        <v>510</v>
      </c>
      <c r="BA23" s="6">
        <v>510</v>
      </c>
      <c r="BB23" s="21">
        <f t="shared" si="19"/>
        <v>2590</v>
      </c>
      <c r="BC23" s="6">
        <f t="shared" si="20"/>
        <v>0</v>
      </c>
      <c r="BD23" s="6">
        <f t="shared" si="21"/>
        <v>13</v>
      </c>
      <c r="BE23" s="6">
        <v>500</v>
      </c>
      <c r="BF23" s="6">
        <v>0</v>
      </c>
      <c r="BG23" s="6">
        <v>513</v>
      </c>
      <c r="BH23" s="6">
        <v>513</v>
      </c>
      <c r="BI23" s="21">
        <f t="shared" si="22"/>
        <v>3103</v>
      </c>
      <c r="BJ23" s="6">
        <f t="shared" si="23"/>
        <v>0</v>
      </c>
      <c r="BK23" s="6">
        <f t="shared" si="24"/>
        <v>16</v>
      </c>
      <c r="BL23" s="6">
        <v>500</v>
      </c>
      <c r="BM23" s="6">
        <v>0</v>
      </c>
      <c r="BN23" s="6">
        <v>516</v>
      </c>
      <c r="BO23" s="6">
        <v>516</v>
      </c>
      <c r="BP23" s="21">
        <f t="shared" si="25"/>
        <v>3619</v>
      </c>
      <c r="BQ23" s="6">
        <f t="shared" si="26"/>
        <v>0</v>
      </c>
      <c r="BR23" s="6">
        <f t="shared" si="27"/>
        <v>18</v>
      </c>
      <c r="BS23" s="6">
        <v>500</v>
      </c>
      <c r="BT23" s="6">
        <v>0</v>
      </c>
      <c r="BU23" s="6">
        <v>518</v>
      </c>
      <c r="BV23" s="6">
        <v>518</v>
      </c>
      <c r="BW23" s="21">
        <f t="shared" si="28"/>
        <v>4137</v>
      </c>
      <c r="BX23" s="6">
        <f t="shared" si="29"/>
        <v>0</v>
      </c>
      <c r="BY23" s="6">
        <f t="shared" si="30"/>
        <v>21</v>
      </c>
      <c r="BZ23" s="6">
        <v>500</v>
      </c>
      <c r="CA23" s="6">
        <v>0</v>
      </c>
      <c r="CB23" s="6">
        <v>521</v>
      </c>
      <c r="CC23" s="6">
        <v>50521</v>
      </c>
      <c r="CD23" s="21">
        <f t="shared" si="31"/>
        <v>54658</v>
      </c>
      <c r="CE23" s="6">
        <f t="shared" si="32"/>
        <v>1227</v>
      </c>
      <c r="CF23" s="6">
        <f t="shared" si="33"/>
        <v>273</v>
      </c>
      <c r="CG23" s="6">
        <v>500</v>
      </c>
      <c r="CH23" s="6">
        <v>0</v>
      </c>
      <c r="CI23" s="6">
        <v>2000</v>
      </c>
      <c r="CJ23" s="6"/>
      <c r="CK23" s="5" t="s">
        <v>40</v>
      </c>
      <c r="CL23" s="14">
        <f t="shared" si="34"/>
        <v>53431</v>
      </c>
      <c r="CM23" s="14">
        <v>55373</v>
      </c>
      <c r="CN23" s="14">
        <v>0</v>
      </c>
      <c r="CO23" s="14"/>
      <c r="CP23" s="14">
        <f>'2017'!CS23</f>
        <v>6180</v>
      </c>
      <c r="CQ23" s="14">
        <f t="shared" si="38"/>
        <v>12180</v>
      </c>
      <c r="CR23" s="3">
        <f t="shared" si="37"/>
        <v>362</v>
      </c>
      <c r="CS23" s="41">
        <f t="shared" si="35"/>
        <v>12542</v>
      </c>
      <c r="CT23" s="14">
        <v>4307</v>
      </c>
      <c r="CU23" s="14">
        <v>3768</v>
      </c>
      <c r="CV23" s="14">
        <v>4875</v>
      </c>
      <c r="CW23" s="14">
        <v>64704</v>
      </c>
      <c r="CX23" s="14">
        <v>6000</v>
      </c>
    </row>
    <row r="24" spans="1:102">
      <c r="A24" s="3">
        <v>22</v>
      </c>
      <c r="B24" s="2" t="s">
        <v>41</v>
      </c>
      <c r="C24" s="7">
        <f>'2017'!CL24</f>
        <v>1098</v>
      </c>
      <c r="D24" s="6">
        <f t="shared" si="0"/>
        <v>1098</v>
      </c>
      <c r="E24" s="6">
        <v>0</v>
      </c>
      <c r="F24" s="6"/>
      <c r="G24" s="6">
        <v>0</v>
      </c>
      <c r="H24" s="6">
        <v>1098</v>
      </c>
      <c r="I24" s="21">
        <v>0</v>
      </c>
      <c r="J24" s="21">
        <f>C24-D24+I24</f>
        <v>0</v>
      </c>
      <c r="K24" s="6">
        <f t="shared" si="3"/>
        <v>0</v>
      </c>
      <c r="L24" s="6">
        <f>MROUND(((J24*1)/100),1)</f>
        <v>0</v>
      </c>
      <c r="M24" s="6"/>
      <c r="N24" s="6"/>
      <c r="O24" s="6"/>
      <c r="P24" s="6"/>
      <c r="Q24" s="21">
        <f t="shared" si="4"/>
        <v>0</v>
      </c>
      <c r="R24" s="6">
        <f t="shared" si="5"/>
        <v>0</v>
      </c>
      <c r="S24" s="6">
        <f t="shared" si="6"/>
        <v>0</v>
      </c>
      <c r="T24" s="6"/>
      <c r="U24" s="6"/>
      <c r="V24" s="6"/>
      <c r="W24" s="6"/>
      <c r="X24" s="21">
        <f t="shared" si="7"/>
        <v>0</v>
      </c>
      <c r="Y24" s="6">
        <f t="shared" si="8"/>
        <v>0</v>
      </c>
      <c r="Z24" s="6">
        <f t="shared" si="9"/>
        <v>0</v>
      </c>
      <c r="AA24" s="6"/>
      <c r="AB24" s="6">
        <v>0</v>
      </c>
      <c r="AC24" s="6"/>
      <c r="AD24" s="6">
        <v>0</v>
      </c>
      <c r="AE24" s="21">
        <f t="shared" si="10"/>
        <v>0</v>
      </c>
      <c r="AF24" s="6">
        <f t="shared" si="11"/>
        <v>0</v>
      </c>
      <c r="AG24" s="6">
        <f t="shared" si="12"/>
        <v>0</v>
      </c>
      <c r="AH24" s="6"/>
      <c r="AI24" s="6">
        <v>0</v>
      </c>
      <c r="AJ24" s="6"/>
      <c r="AK24" s="6"/>
      <c r="AL24" s="21">
        <f t="shared" si="13"/>
        <v>0</v>
      </c>
      <c r="AM24" s="6">
        <f t="shared" si="14"/>
        <v>0</v>
      </c>
      <c r="AN24" s="6">
        <f t="shared" si="15"/>
        <v>0</v>
      </c>
      <c r="AO24" s="6"/>
      <c r="AP24" s="6"/>
      <c r="AQ24" s="6"/>
      <c r="AR24" s="6"/>
      <c r="AS24" s="6">
        <v>0</v>
      </c>
      <c r="AU24" s="21">
        <f t="shared" si="16"/>
        <v>0</v>
      </c>
      <c r="AV24" s="6">
        <f t="shared" si="17"/>
        <v>0</v>
      </c>
      <c r="AW24" s="6">
        <f>MROUND(((AU24*1)/100),1)</f>
        <v>0</v>
      </c>
      <c r="AX24" s="6">
        <v>0</v>
      </c>
      <c r="AY24" s="6">
        <v>0</v>
      </c>
      <c r="AZ24" s="6">
        <v>0</v>
      </c>
      <c r="BA24" s="5">
        <v>42650</v>
      </c>
      <c r="BB24" s="21">
        <f t="shared" si="19"/>
        <v>42650</v>
      </c>
      <c r="BC24" s="6">
        <f t="shared" si="20"/>
        <v>42650</v>
      </c>
      <c r="BD24" s="6">
        <v>0</v>
      </c>
      <c r="BE24" s="5"/>
      <c r="BF24" s="5"/>
      <c r="BG24" s="6">
        <v>42650</v>
      </c>
      <c r="BH24" s="6">
        <v>0</v>
      </c>
      <c r="BI24" s="21">
        <f t="shared" si="22"/>
        <v>0</v>
      </c>
      <c r="BJ24" s="6">
        <f t="shared" si="23"/>
        <v>0</v>
      </c>
      <c r="BK24" s="6">
        <f>MROUND(((BI24*1)/100),1)</f>
        <v>0</v>
      </c>
      <c r="BL24" s="5"/>
      <c r="BM24" s="5"/>
      <c r="BN24" s="6"/>
      <c r="BO24" s="5"/>
      <c r="BP24" s="21">
        <f t="shared" si="25"/>
        <v>0</v>
      </c>
      <c r="BQ24" s="6">
        <f t="shared" si="26"/>
        <v>0</v>
      </c>
      <c r="BR24" s="6">
        <f>MROUND(((BP24*1)/100),1)</f>
        <v>0</v>
      </c>
      <c r="BS24" s="5"/>
      <c r="BT24" s="5"/>
      <c r="BU24" s="6"/>
      <c r="BV24" s="5"/>
      <c r="BW24" s="21">
        <f t="shared" si="28"/>
        <v>0</v>
      </c>
      <c r="BX24" s="6">
        <f t="shared" si="29"/>
        <v>0</v>
      </c>
      <c r="BY24" s="6">
        <f>MROUND(((BW24*1)/100),1)</f>
        <v>0</v>
      </c>
      <c r="BZ24" s="5"/>
      <c r="CA24" s="5"/>
      <c r="CB24" s="5"/>
      <c r="CC24" s="5"/>
      <c r="CD24" s="21">
        <f t="shared" si="31"/>
        <v>0</v>
      </c>
      <c r="CE24" s="6">
        <f t="shared" si="32"/>
        <v>0</v>
      </c>
      <c r="CF24" s="6">
        <f t="shared" si="33"/>
        <v>0</v>
      </c>
      <c r="CG24" s="5"/>
      <c r="CH24" s="5"/>
      <c r="CI24" s="5"/>
      <c r="CJ24" s="5"/>
      <c r="CK24" s="2" t="s">
        <v>41</v>
      </c>
      <c r="CL24" s="14">
        <f t="shared" si="34"/>
        <v>0</v>
      </c>
      <c r="CM24" s="14">
        <v>0</v>
      </c>
      <c r="CN24" s="14">
        <v>0</v>
      </c>
      <c r="CO24" s="14"/>
      <c r="CP24" s="14">
        <f>'2017'!CS24</f>
        <v>0</v>
      </c>
      <c r="CQ24" s="14">
        <f t="shared" si="38"/>
        <v>0</v>
      </c>
      <c r="CR24" s="3">
        <f t="shared" si="37"/>
        <v>0</v>
      </c>
      <c r="CS24" s="41">
        <f t="shared" si="35"/>
        <v>0</v>
      </c>
      <c r="CT24" s="14">
        <v>0</v>
      </c>
      <c r="CU24" s="14">
        <v>0</v>
      </c>
      <c r="CV24" s="14">
        <v>0</v>
      </c>
      <c r="CW24" s="14">
        <v>0</v>
      </c>
      <c r="CX24" s="14">
        <v>6000</v>
      </c>
    </row>
    <row r="25" spans="1:102">
      <c r="B25" s="5" t="s">
        <v>39</v>
      </c>
      <c r="C25" s="7">
        <f>'2017'!CL25</f>
        <v>0</v>
      </c>
      <c r="D25" s="6">
        <f t="shared" si="0"/>
        <v>0</v>
      </c>
      <c r="E25" s="6">
        <v>0</v>
      </c>
      <c r="F25" s="6"/>
      <c r="G25" s="6"/>
      <c r="H25" s="6">
        <v>0</v>
      </c>
      <c r="I25" s="21"/>
      <c r="J25" s="21">
        <f t="shared" si="2"/>
        <v>0</v>
      </c>
      <c r="K25" s="6">
        <f t="shared" si="3"/>
        <v>0</v>
      </c>
      <c r="L25" s="6">
        <f>MROUND(((J25*1)/100),1)</f>
        <v>0</v>
      </c>
      <c r="M25" s="6"/>
      <c r="N25" s="6"/>
      <c r="O25" s="6">
        <v>0</v>
      </c>
      <c r="P25" s="6"/>
      <c r="Q25" s="21">
        <f t="shared" si="4"/>
        <v>0</v>
      </c>
      <c r="R25" s="6">
        <f t="shared" si="5"/>
        <v>0</v>
      </c>
      <c r="S25" s="6">
        <f>MROUND(((Q25*1)/100),1)</f>
        <v>0</v>
      </c>
      <c r="T25" s="6">
        <v>0</v>
      </c>
      <c r="U25" s="6">
        <v>0</v>
      </c>
      <c r="V25" s="6">
        <v>0</v>
      </c>
      <c r="W25" s="6"/>
      <c r="X25" s="21">
        <f t="shared" si="7"/>
        <v>0</v>
      </c>
      <c r="Y25" s="6">
        <f t="shared" si="8"/>
        <v>0</v>
      </c>
      <c r="Z25" s="6">
        <f>MROUND(((X25*1)/100),1)</f>
        <v>0</v>
      </c>
      <c r="AA25" s="6"/>
      <c r="AB25" s="6">
        <v>0</v>
      </c>
      <c r="AC25" s="6"/>
      <c r="AD25" s="6"/>
      <c r="AE25" s="21">
        <f t="shared" si="10"/>
        <v>0</v>
      </c>
      <c r="AF25" s="6">
        <f t="shared" si="11"/>
        <v>0</v>
      </c>
      <c r="AG25" s="6">
        <f>MROUND(((AE25*1)/100),1)</f>
        <v>0</v>
      </c>
      <c r="AH25" s="5"/>
      <c r="AI25" s="6">
        <v>0</v>
      </c>
      <c r="AJ25" s="5"/>
      <c r="AK25" s="5"/>
      <c r="AL25" s="21">
        <f t="shared" si="13"/>
        <v>0</v>
      </c>
      <c r="AM25" s="6">
        <f t="shared" si="14"/>
        <v>0</v>
      </c>
      <c r="AN25" s="6">
        <f>MROUND(((AL25*1)/100),1)</f>
        <v>0</v>
      </c>
      <c r="AO25" s="5"/>
      <c r="AP25" s="5"/>
      <c r="AQ25" s="5"/>
      <c r="AR25" s="5"/>
      <c r="AS25" s="5">
        <v>0</v>
      </c>
      <c r="AU25" s="21">
        <f t="shared" si="16"/>
        <v>0</v>
      </c>
      <c r="AV25" s="6">
        <f t="shared" si="17"/>
        <v>0</v>
      </c>
      <c r="AW25" s="6">
        <f>MROUND(((AU25*1)/100),1)</f>
        <v>0</v>
      </c>
      <c r="AX25" s="6"/>
      <c r="AY25" s="6"/>
      <c r="AZ25" s="5">
        <v>0</v>
      </c>
      <c r="BA25" s="5">
        <v>0</v>
      </c>
      <c r="BB25" s="21">
        <f t="shared" si="19"/>
        <v>0</v>
      </c>
      <c r="BC25" s="6">
        <f t="shared" si="20"/>
        <v>0</v>
      </c>
      <c r="BD25" s="6">
        <f>MROUND(((BB25*1)/100),1)</f>
        <v>0</v>
      </c>
      <c r="BE25" s="5"/>
      <c r="BF25" s="5"/>
      <c r="BG25" s="5"/>
      <c r="BH25" s="5">
        <v>0</v>
      </c>
      <c r="BI25" s="21">
        <f>BB25-BC25+BH25</f>
        <v>0</v>
      </c>
      <c r="BJ25" s="6">
        <f t="shared" si="23"/>
        <v>0</v>
      </c>
      <c r="BK25" s="6">
        <f>MROUND(((BI25*1)/100),1)</f>
        <v>0</v>
      </c>
      <c r="BL25" s="5"/>
      <c r="BM25" s="5"/>
      <c r="BN25" s="5"/>
      <c r="BO25" s="5">
        <v>0</v>
      </c>
      <c r="BP25" s="21">
        <f t="shared" si="25"/>
        <v>0</v>
      </c>
      <c r="BQ25" s="6">
        <f t="shared" si="26"/>
        <v>0</v>
      </c>
      <c r="BR25" s="6">
        <f>MROUND(((BP25*1)/100),1)</f>
        <v>0</v>
      </c>
      <c r="BS25" s="5"/>
      <c r="BT25" s="5"/>
      <c r="BU25" s="5"/>
      <c r="BV25" s="5">
        <v>0</v>
      </c>
      <c r="BW25" s="21">
        <f t="shared" si="28"/>
        <v>0</v>
      </c>
      <c r="BX25" s="6">
        <f t="shared" si="29"/>
        <v>0</v>
      </c>
      <c r="BY25" s="6">
        <f>MROUND(((BW25*1)/100),1)</f>
        <v>0</v>
      </c>
      <c r="BZ25" s="5"/>
      <c r="CA25" s="5"/>
      <c r="CB25" s="5"/>
      <c r="CC25" s="5">
        <v>0</v>
      </c>
      <c r="CD25" s="21">
        <f t="shared" si="31"/>
        <v>0</v>
      </c>
      <c r="CE25" s="6">
        <f t="shared" si="32"/>
        <v>0</v>
      </c>
      <c r="CF25" s="6">
        <f>MROUND(((CD25*1)/100),1)</f>
        <v>0</v>
      </c>
      <c r="CG25" s="5"/>
      <c r="CH25" s="5"/>
      <c r="CI25" s="5"/>
      <c r="CJ25" s="5"/>
      <c r="CK25" s="5" t="s">
        <v>42</v>
      </c>
      <c r="CL25" s="14">
        <f t="shared" si="34"/>
        <v>0</v>
      </c>
      <c r="CM25" s="14">
        <v>0</v>
      </c>
      <c r="CN25" s="14">
        <v>0</v>
      </c>
      <c r="CO25" s="14"/>
      <c r="CP25" s="14">
        <f>'2017'!CS25</f>
        <v>0</v>
      </c>
      <c r="CQ25" s="14">
        <f t="shared" si="38"/>
        <v>0</v>
      </c>
      <c r="CR25" s="3">
        <f t="shared" si="37"/>
        <v>0</v>
      </c>
      <c r="CS25" s="41">
        <f t="shared" si="35"/>
        <v>0</v>
      </c>
      <c r="CT25" s="14">
        <v>10000</v>
      </c>
      <c r="CU25" s="14">
        <v>0</v>
      </c>
      <c r="CV25" s="14">
        <v>0</v>
      </c>
      <c r="CW25" s="14">
        <v>0</v>
      </c>
      <c r="CX25" s="14">
        <v>0</v>
      </c>
    </row>
    <row r="26" spans="1:102" ht="18.75">
      <c r="B26" s="5"/>
      <c r="C26" s="7">
        <f>SUM(C3:C25)</f>
        <v>981239</v>
      </c>
      <c r="D26" s="7">
        <f>SUM(D3:D25)</f>
        <v>324852</v>
      </c>
      <c r="E26" s="8">
        <f>SUM(E3:E25)</f>
        <v>4902</v>
      </c>
      <c r="F26" s="7">
        <f>SUM(F3:F25)</f>
        <v>19700</v>
      </c>
      <c r="G26" s="7">
        <f>SUM(G3:G25)</f>
        <v>11800</v>
      </c>
      <c r="H26" s="9">
        <v>93178</v>
      </c>
      <c r="I26" s="17">
        <f t="shared" ref="I26:N26" si="39">SUM(I3:I25)</f>
        <v>155856</v>
      </c>
      <c r="J26" s="17">
        <f t="shared" si="39"/>
        <v>812243</v>
      </c>
      <c r="K26" s="18">
        <f t="shared" si="39"/>
        <v>71453</v>
      </c>
      <c r="L26" s="19">
        <f t="shared" si="39"/>
        <v>4060</v>
      </c>
      <c r="M26" s="18">
        <f t="shared" si="39"/>
        <v>19700</v>
      </c>
      <c r="N26" s="18">
        <f t="shared" si="39"/>
        <v>11800</v>
      </c>
      <c r="O26" s="20">
        <v>91050</v>
      </c>
      <c r="P26" s="7">
        <f>SUM(P3:P25)</f>
        <v>51209</v>
      </c>
      <c r="Q26" s="21">
        <v>0</v>
      </c>
      <c r="R26" s="5"/>
      <c r="S26" s="6">
        <f t="shared" ref="S26" si="40">MROUND(((Q26*0.5)/100),1)</f>
        <v>0</v>
      </c>
      <c r="T26" s="5"/>
      <c r="U26" s="5"/>
      <c r="V26" s="5"/>
      <c r="W26" s="5"/>
      <c r="X26" s="21">
        <f t="shared" ref="X26:AO26" si="41">SUM(X3:X25)</f>
        <v>822253</v>
      </c>
      <c r="Y26" s="6">
        <f t="shared" si="41"/>
        <v>37433</v>
      </c>
      <c r="Z26" s="6">
        <f t="shared" si="41"/>
        <v>4112</v>
      </c>
      <c r="AA26" s="6">
        <f t="shared" si="41"/>
        <v>24700</v>
      </c>
      <c r="AB26" s="6">
        <f t="shared" si="41"/>
        <v>11800</v>
      </c>
      <c r="AC26" s="6">
        <f t="shared" si="41"/>
        <v>78045</v>
      </c>
      <c r="AD26" s="6">
        <f t="shared" si="41"/>
        <v>65927</v>
      </c>
      <c r="AE26" s="21">
        <f t="shared" si="41"/>
        <v>850747</v>
      </c>
      <c r="AF26" s="6">
        <f t="shared" si="41"/>
        <v>37052</v>
      </c>
      <c r="AG26" s="24">
        <f t="shared" si="41"/>
        <v>4253</v>
      </c>
      <c r="AH26" s="6">
        <f t="shared" si="41"/>
        <v>24200</v>
      </c>
      <c r="AI26" s="24">
        <f t="shared" si="41"/>
        <v>11800</v>
      </c>
      <c r="AJ26" s="25">
        <f t="shared" si="41"/>
        <v>77305</v>
      </c>
      <c r="AK26" s="6">
        <f t="shared" si="41"/>
        <v>36105</v>
      </c>
      <c r="AL26" s="21">
        <f t="shared" si="41"/>
        <v>849800</v>
      </c>
      <c r="AM26" s="6">
        <f t="shared" si="41"/>
        <v>41017</v>
      </c>
      <c r="AN26" s="24">
        <f t="shared" si="41"/>
        <v>4249</v>
      </c>
      <c r="AO26" s="6">
        <f t="shared" si="41"/>
        <v>24200</v>
      </c>
      <c r="AP26" s="24">
        <v>0</v>
      </c>
      <c r="AQ26" s="25">
        <f>SUM(AQ3:AQ25)</f>
        <v>69466</v>
      </c>
      <c r="AR26" s="6">
        <v>50000</v>
      </c>
      <c r="AS26" s="6">
        <f>SUM(AS3:AS25)</f>
        <v>106666</v>
      </c>
      <c r="AU26" s="27">
        <v>1055883</v>
      </c>
      <c r="AV26" s="14">
        <f>SUM(AV3:AV25)</f>
        <v>82897</v>
      </c>
      <c r="AW26" s="14">
        <f>SUM(AW3:AW25)</f>
        <v>4575</v>
      </c>
      <c r="AX26" s="14">
        <f>SUM(AX3:AX25)</f>
        <v>24200</v>
      </c>
      <c r="AY26" s="14">
        <v>0</v>
      </c>
      <c r="AZ26" s="14">
        <f>SUM(AZ3:BA25)</f>
        <v>175794</v>
      </c>
      <c r="BA26" s="14">
        <f>SUM(BA3:BA25)</f>
        <v>64122</v>
      </c>
      <c r="BB26" s="21">
        <v>1098483</v>
      </c>
      <c r="BC26" s="6">
        <f t="shared" ref="BC26:BM26" si="42">SUM(BC3:BC25)</f>
        <v>87844</v>
      </c>
      <c r="BD26" s="24">
        <f t="shared" si="42"/>
        <v>4270</v>
      </c>
      <c r="BE26" s="6">
        <f t="shared" si="42"/>
        <v>24200</v>
      </c>
      <c r="BF26" s="24">
        <f t="shared" si="42"/>
        <v>12500</v>
      </c>
      <c r="BG26" s="25">
        <f t="shared" si="42"/>
        <v>128814</v>
      </c>
      <c r="BH26" s="6">
        <f t="shared" si="42"/>
        <v>61464</v>
      </c>
      <c r="BI26" s="21">
        <f t="shared" si="42"/>
        <v>870294</v>
      </c>
      <c r="BJ26" s="6">
        <f t="shared" si="42"/>
        <v>37668</v>
      </c>
      <c r="BK26" s="24">
        <f t="shared" si="42"/>
        <v>4354</v>
      </c>
      <c r="BL26" s="6">
        <f t="shared" si="42"/>
        <v>24200</v>
      </c>
      <c r="BM26" s="24">
        <f t="shared" si="42"/>
        <v>12500</v>
      </c>
      <c r="BN26" s="25">
        <v>73772</v>
      </c>
      <c r="BO26" s="6">
        <f t="shared" ref="BO26:CA26" si="43">SUM(BO3:BO25)</f>
        <v>151522</v>
      </c>
      <c r="BP26" s="21">
        <f t="shared" si="43"/>
        <v>984148</v>
      </c>
      <c r="BQ26" s="6">
        <f t="shared" si="43"/>
        <v>59554</v>
      </c>
      <c r="BR26" s="24">
        <f t="shared" si="43"/>
        <v>4921</v>
      </c>
      <c r="BS26" s="6">
        <f t="shared" si="43"/>
        <v>24200</v>
      </c>
      <c r="BT26" s="24">
        <f t="shared" si="43"/>
        <v>13000</v>
      </c>
      <c r="BU26" s="25">
        <f t="shared" si="43"/>
        <v>101675</v>
      </c>
      <c r="BV26" s="6">
        <f t="shared" si="43"/>
        <v>115518</v>
      </c>
      <c r="BW26" s="21">
        <f t="shared" si="43"/>
        <v>1040112</v>
      </c>
      <c r="BX26" s="6">
        <f t="shared" si="43"/>
        <v>34821</v>
      </c>
      <c r="BY26" s="24">
        <f t="shared" si="43"/>
        <v>5201</v>
      </c>
      <c r="BZ26" s="6">
        <f t="shared" si="43"/>
        <v>24200</v>
      </c>
      <c r="CA26" s="24">
        <f t="shared" si="43"/>
        <v>13500</v>
      </c>
      <c r="CB26" s="25">
        <v>58044</v>
      </c>
      <c r="CC26" s="6">
        <f t="shared" ref="CC26:CH26" si="44">SUM(CC3:CC25)</f>
        <v>123432</v>
      </c>
      <c r="CD26" s="21">
        <f t="shared" si="44"/>
        <v>1128723</v>
      </c>
      <c r="CE26" s="6">
        <f t="shared" si="44"/>
        <v>64690</v>
      </c>
      <c r="CF26" s="24">
        <f t="shared" si="44"/>
        <v>5642</v>
      </c>
      <c r="CG26" s="6">
        <f t="shared" si="44"/>
        <v>24240</v>
      </c>
      <c r="CH26" s="24">
        <f t="shared" si="44"/>
        <v>13500</v>
      </c>
      <c r="CI26" s="25">
        <v>51396</v>
      </c>
      <c r="CJ26" s="6">
        <f>SUM(CJ3:CJ25)</f>
        <v>18012</v>
      </c>
      <c r="CL26" s="14">
        <f>SUM(CL3:CL25)</f>
        <v>1082045</v>
      </c>
      <c r="CM26" s="14">
        <v>0</v>
      </c>
      <c r="CN26" s="14">
        <v>50000</v>
      </c>
      <c r="CO26" s="14">
        <v>85000</v>
      </c>
      <c r="CP26" s="14">
        <f>SUM(CP3:CP25)</f>
        <v>1221203</v>
      </c>
      <c r="CQ26" s="14">
        <f>SUM(CQ3:CQ25)</f>
        <v>1283668</v>
      </c>
      <c r="CR26" s="3">
        <f>SUM(CR3:CR25)</f>
        <v>38155</v>
      </c>
      <c r="CS26" s="41">
        <f>SUM(CS3:CS25)</f>
        <v>1321823</v>
      </c>
      <c r="CT26" s="14">
        <v>620098</v>
      </c>
      <c r="CU26" s="14">
        <v>66845</v>
      </c>
      <c r="CV26" s="14">
        <v>658232</v>
      </c>
      <c r="CW26" s="14">
        <v>1133547</v>
      </c>
      <c r="CX26" s="14">
        <v>300872</v>
      </c>
    </row>
    <row r="27" spans="1:102" ht="18.75">
      <c r="Q27" s="21">
        <f t="shared" ref="Q27:W27" si="45">SUM(Q3:Q26)</f>
        <v>791999</v>
      </c>
      <c r="R27" s="6">
        <f t="shared" si="45"/>
        <v>36638</v>
      </c>
      <c r="S27" s="24">
        <f t="shared" si="45"/>
        <v>3959</v>
      </c>
      <c r="T27" s="6">
        <f t="shared" si="45"/>
        <v>19725</v>
      </c>
      <c r="U27" s="24">
        <f t="shared" si="45"/>
        <v>11800</v>
      </c>
      <c r="V27" s="25">
        <f t="shared" si="45"/>
        <v>72122</v>
      </c>
      <c r="W27" s="6">
        <f t="shared" si="45"/>
        <v>66892</v>
      </c>
      <c r="CQ27" s="3">
        <v>215000</v>
      </c>
    </row>
    <row r="28" spans="1:102">
      <c r="C28" s="3">
        <v>5477</v>
      </c>
      <c r="AJ28" s="14">
        <v>0</v>
      </c>
      <c r="AQ28" s="14">
        <v>0</v>
      </c>
      <c r="BG28" s="14">
        <v>0</v>
      </c>
      <c r="BM28" s="14">
        <v>0</v>
      </c>
      <c r="BU28" s="14">
        <v>0</v>
      </c>
      <c r="CB28" s="14">
        <v>0</v>
      </c>
      <c r="CH28" s="14">
        <v>0</v>
      </c>
      <c r="CP28" s="14">
        <v>1578828</v>
      </c>
      <c r="CQ28" s="14">
        <v>1313648</v>
      </c>
    </row>
    <row r="29" spans="1:102">
      <c r="G29" s="14">
        <v>0</v>
      </c>
      <c r="O29" s="14">
        <v>0</v>
      </c>
      <c r="U29" s="14">
        <v>0</v>
      </c>
      <c r="AC29" s="14">
        <v>0</v>
      </c>
    </row>
    <row r="30" spans="1:102">
      <c r="C30" s="3" t="s">
        <v>18</v>
      </c>
      <c r="D30" s="14">
        <v>620098</v>
      </c>
      <c r="H30" s="3" t="s">
        <v>80</v>
      </c>
      <c r="I30" s="15" t="s">
        <v>81</v>
      </c>
      <c r="J30" s="3" t="s">
        <v>82</v>
      </c>
      <c r="CM30" s="14">
        <v>0</v>
      </c>
      <c r="CP30" s="27">
        <v>1879700</v>
      </c>
    </row>
    <row r="31" spans="1:102" ht="20.25">
      <c r="B31" s="190" t="s">
        <v>100</v>
      </c>
      <c r="C31" s="190"/>
      <c r="D31" s="190"/>
      <c r="E31" s="190"/>
      <c r="F31" s="190"/>
      <c r="G31" s="190"/>
      <c r="H31" s="14">
        <f>F26+M26+T27+AA26+AH26+AO26+AX26+BE26+BL26+BS26+BZ26+CG26</f>
        <v>277465</v>
      </c>
      <c r="I31" s="27">
        <f>D26+K26+R27+Y26+AF26+AM26+AV26+BC26+BJ26+BQ26+BX26+CE26</f>
        <v>915919</v>
      </c>
      <c r="J31" s="14">
        <f>I26+P26+W27+AD26+AK26+AS26+BA26+BH26+BO26+BV26+CC26+CJ26</f>
        <v>1016725</v>
      </c>
      <c r="K31" s="14"/>
      <c r="O31" s="29">
        <f>M34-O33</f>
        <v>2</v>
      </c>
      <c r="CM31" s="14">
        <v>0</v>
      </c>
    </row>
    <row r="32" spans="1:102" ht="21">
      <c r="B32" s="54" t="s">
        <v>92</v>
      </c>
      <c r="C32" s="54" t="s">
        <v>45</v>
      </c>
      <c r="D32" s="54"/>
      <c r="E32" s="54" t="s">
        <v>93</v>
      </c>
      <c r="F32" s="54" t="s">
        <v>45</v>
      </c>
      <c r="G32" s="54"/>
      <c r="H32" s="14"/>
      <c r="I32" s="27"/>
      <c r="J32" s="14"/>
      <c r="K32" s="191" t="s">
        <v>101</v>
      </c>
      <c r="L32" s="191"/>
      <c r="M32" s="191"/>
      <c r="N32" s="191"/>
      <c r="O32" s="191"/>
      <c r="P32" s="191"/>
      <c r="Q32" s="191"/>
      <c r="R32" s="191"/>
      <c r="S32" s="191"/>
      <c r="BF32" s="3">
        <v>0</v>
      </c>
      <c r="CM32" s="14">
        <v>0</v>
      </c>
      <c r="CP32" s="14">
        <v>1578828</v>
      </c>
    </row>
    <row r="33" spans="2:23">
      <c r="B33" s="5" t="s">
        <v>84</v>
      </c>
      <c r="C33" s="6">
        <f>H31+F36</f>
        <v>313128</v>
      </c>
      <c r="D33" s="6">
        <f>H31+F36</f>
        <v>313128</v>
      </c>
      <c r="E33" s="5"/>
      <c r="F33" s="5"/>
      <c r="G33" s="5"/>
      <c r="K33" s="173" t="s">
        <v>44</v>
      </c>
      <c r="L33" s="173"/>
      <c r="M33" s="173" t="s">
        <v>45</v>
      </c>
      <c r="N33" s="173"/>
      <c r="O33" s="6">
        <f>CQ26</f>
        <v>1283668</v>
      </c>
      <c r="P33" s="173" t="s">
        <v>46</v>
      </c>
      <c r="Q33" s="173"/>
      <c r="R33" s="173" t="s">
        <v>45</v>
      </c>
      <c r="S33" s="173"/>
    </row>
    <row r="34" spans="2:23" ht="15.75">
      <c r="B34" s="5" t="s">
        <v>73</v>
      </c>
      <c r="C34" s="6">
        <f>G26+N26+U27+AB26+AI26+AP26+AY26+BF26+BT26+CA26+CH26+BM26</f>
        <v>124000</v>
      </c>
      <c r="D34" s="5"/>
      <c r="E34" s="5" t="s">
        <v>47</v>
      </c>
      <c r="F34" s="6">
        <f>J31</f>
        <v>1016725</v>
      </c>
      <c r="G34" s="6">
        <v>658232</v>
      </c>
      <c r="K34" s="192" t="s">
        <v>48</v>
      </c>
      <c r="L34" s="192"/>
      <c r="M34" s="193">
        <f>M36+(M37-M38)</f>
        <v>1283670</v>
      </c>
      <c r="N34" s="192"/>
      <c r="O34" s="5"/>
      <c r="P34" s="192" t="s">
        <v>49</v>
      </c>
      <c r="Q34" s="192"/>
      <c r="R34" s="193">
        <f>R35+(R36-R37)</f>
        <v>91914</v>
      </c>
      <c r="S34" s="193"/>
      <c r="T34" s="3" t="s">
        <v>20</v>
      </c>
    </row>
    <row r="35" spans="2:23">
      <c r="B35" s="5" t="s">
        <v>50</v>
      </c>
      <c r="C35" s="6">
        <f>I31</f>
        <v>915919</v>
      </c>
      <c r="D35" s="6">
        <v>620098</v>
      </c>
      <c r="E35" s="55" t="s">
        <v>51</v>
      </c>
      <c r="F35" s="57">
        <v>125000</v>
      </c>
      <c r="G35" s="5"/>
      <c r="H35" s="31">
        <f>F42-C42</f>
        <v>0</v>
      </c>
      <c r="K35" s="173"/>
      <c r="L35" s="173"/>
      <c r="M35" s="173"/>
      <c r="N35" s="173"/>
      <c r="O35" s="5"/>
      <c r="P35" s="173" t="s">
        <v>52</v>
      </c>
      <c r="Q35" s="173"/>
      <c r="R35" s="174">
        <f>'2017'!R34:S34</f>
        <v>46359</v>
      </c>
      <c r="S35" s="174"/>
    </row>
    <row r="36" spans="2:23">
      <c r="B36" s="5" t="s">
        <v>53</v>
      </c>
      <c r="C36" s="24">
        <f>E26+L26+S27+Z26+AG26+AN26+AW26+BD26+BK26+BR26+BY26+CF26</f>
        <v>54498</v>
      </c>
      <c r="D36" s="5"/>
      <c r="E36" s="55" t="s">
        <v>54</v>
      </c>
      <c r="F36" s="57">
        <f>'2017'!M41</f>
        <v>35663</v>
      </c>
      <c r="G36" s="5"/>
      <c r="H36" s="30"/>
      <c r="K36" s="173" t="s">
        <v>52</v>
      </c>
      <c r="L36" s="173"/>
      <c r="M36" s="174">
        <f>'2017'!M34</f>
        <v>1185542</v>
      </c>
      <c r="N36" s="174"/>
      <c r="O36" s="5"/>
      <c r="P36" s="173" t="s">
        <v>56</v>
      </c>
      <c r="Q36" s="173"/>
      <c r="R36" s="174">
        <f>F38</f>
        <v>293205</v>
      </c>
      <c r="S36" s="174"/>
    </row>
    <row r="37" spans="2:23">
      <c r="B37" s="5"/>
      <c r="C37" s="5"/>
      <c r="D37" s="5"/>
      <c r="E37" s="55" t="s">
        <v>57</v>
      </c>
      <c r="F37" s="57">
        <v>215000</v>
      </c>
      <c r="G37" s="5"/>
      <c r="H37" s="30"/>
      <c r="K37" s="173" t="s">
        <v>58</v>
      </c>
      <c r="L37" s="173"/>
      <c r="M37" s="174">
        <f>C33</f>
        <v>313128</v>
      </c>
      <c r="N37" s="174"/>
      <c r="O37" s="5"/>
      <c r="P37" s="173" t="s">
        <v>59</v>
      </c>
      <c r="Q37" s="173"/>
      <c r="R37" s="174">
        <f>C39</f>
        <v>247650</v>
      </c>
      <c r="S37" s="174"/>
    </row>
    <row r="38" spans="2:23" ht="15.75">
      <c r="B38" s="5" t="s">
        <v>60</v>
      </c>
      <c r="C38" s="5"/>
      <c r="D38" s="5"/>
      <c r="E38" s="55" t="s">
        <v>61</v>
      </c>
      <c r="F38" s="57">
        <v>293205</v>
      </c>
      <c r="G38" s="5"/>
      <c r="H38" s="30"/>
      <c r="K38" s="173" t="s">
        <v>62</v>
      </c>
      <c r="L38" s="173"/>
      <c r="M38" s="174">
        <f>F37</f>
        <v>215000</v>
      </c>
      <c r="N38" s="174"/>
      <c r="O38" s="5"/>
      <c r="P38" s="192" t="s">
        <v>11</v>
      </c>
      <c r="Q38" s="192"/>
      <c r="R38" s="193">
        <f>R39+(R40-R41)</f>
        <v>60000</v>
      </c>
      <c r="S38" s="193"/>
      <c r="T38" s="3" t="s">
        <v>20</v>
      </c>
    </row>
    <row r="39" spans="2:23">
      <c r="B39" s="55" t="s">
        <v>85</v>
      </c>
      <c r="C39" s="56">
        <v>247650</v>
      </c>
      <c r="D39" s="56"/>
      <c r="E39" s="55" t="s">
        <v>63</v>
      </c>
      <c r="F39" s="57">
        <v>87865</v>
      </c>
      <c r="G39" s="5"/>
      <c r="H39" s="30" t="s">
        <v>55</v>
      </c>
      <c r="I39" s="15" t="s">
        <v>83</v>
      </c>
      <c r="K39" s="173"/>
      <c r="L39" s="173"/>
      <c r="M39" s="174"/>
      <c r="N39" s="174"/>
      <c r="O39" s="5"/>
      <c r="P39" s="173" t="s">
        <v>52</v>
      </c>
      <c r="Q39" s="173"/>
      <c r="R39" s="174">
        <f>'2017'!R38:S38</f>
        <v>59000</v>
      </c>
      <c r="S39" s="174"/>
    </row>
    <row r="40" spans="2:23">
      <c r="B40" s="55" t="s">
        <v>64</v>
      </c>
      <c r="C40" s="57">
        <f>'2017'!F39</f>
        <v>134607</v>
      </c>
      <c r="D40" s="57"/>
      <c r="E40" s="55" t="s">
        <v>65</v>
      </c>
      <c r="F40" s="57">
        <v>10364</v>
      </c>
      <c r="G40" s="5"/>
      <c r="H40" s="30">
        <v>627000</v>
      </c>
      <c r="I40" s="15">
        <v>65318</v>
      </c>
      <c r="K40" s="173" t="s">
        <v>66</v>
      </c>
      <c r="L40" s="173"/>
      <c r="M40" s="174"/>
      <c r="N40" s="174"/>
      <c r="O40" s="5"/>
      <c r="P40" s="173" t="s">
        <v>67</v>
      </c>
      <c r="Q40" s="173"/>
      <c r="R40" s="174">
        <f>F35</f>
        <v>125000</v>
      </c>
      <c r="S40" s="174"/>
    </row>
    <row r="41" spans="2:23">
      <c r="B41" s="5"/>
      <c r="C41" s="5"/>
      <c r="D41" s="5"/>
      <c r="E41" s="55" t="s">
        <v>72</v>
      </c>
      <c r="F41" s="57">
        <v>5980</v>
      </c>
      <c r="G41" s="5"/>
      <c r="I41" s="15">
        <v>116500</v>
      </c>
      <c r="K41" s="173"/>
      <c r="L41" s="173"/>
      <c r="M41" s="174">
        <v>38154</v>
      </c>
      <c r="N41" s="174"/>
      <c r="O41" s="5"/>
      <c r="P41" s="173" t="s">
        <v>58</v>
      </c>
      <c r="Q41" s="173"/>
      <c r="R41" s="174">
        <f>C34</f>
        <v>124000</v>
      </c>
      <c r="S41" s="174"/>
      <c r="W41" s="3" t="s">
        <v>13</v>
      </c>
    </row>
    <row r="42" spans="2:23" ht="15.75">
      <c r="B42" s="59" t="s">
        <v>94</v>
      </c>
      <c r="C42" s="60">
        <f>SUM(C33:C41)</f>
        <v>1789802</v>
      </c>
      <c r="D42" s="59"/>
      <c r="E42" s="59" t="s">
        <v>94</v>
      </c>
      <c r="F42" s="60">
        <f>SUM(F34:F41)</f>
        <v>1789802</v>
      </c>
      <c r="G42" s="5"/>
      <c r="I42" s="15">
        <v>150983</v>
      </c>
      <c r="K42" s="173"/>
      <c r="L42" s="173"/>
      <c r="M42" s="174"/>
      <c r="N42" s="174"/>
      <c r="O42" s="5"/>
      <c r="P42" s="192" t="s">
        <v>7</v>
      </c>
      <c r="Q42" s="192"/>
      <c r="R42" s="194">
        <f>R43+(R44-R45)</f>
        <v>1082045</v>
      </c>
      <c r="S42" s="194"/>
      <c r="U42" s="29">
        <f>R47-M47</f>
        <v>0</v>
      </c>
      <c r="W42" s="14">
        <f>CL26</f>
        <v>1082045</v>
      </c>
    </row>
    <row r="43" spans="2:23">
      <c r="I43" s="15">
        <v>332801</v>
      </c>
      <c r="K43" s="173"/>
      <c r="L43" s="173"/>
      <c r="M43" s="174"/>
      <c r="N43" s="174"/>
      <c r="O43" s="5"/>
      <c r="P43" s="173" t="s">
        <v>52</v>
      </c>
      <c r="Q43" s="173"/>
      <c r="R43" s="174">
        <f>'2017'!R42:S42</f>
        <v>981239</v>
      </c>
      <c r="S43" s="174"/>
      <c r="W43" s="29">
        <f>R42-W42</f>
        <v>0</v>
      </c>
    </row>
    <row r="44" spans="2:23" ht="15.75" thickBot="1">
      <c r="K44" s="63"/>
      <c r="L44" s="63"/>
      <c r="M44" s="56"/>
      <c r="N44" s="56"/>
      <c r="O44" s="5"/>
      <c r="P44" s="173" t="s">
        <v>67</v>
      </c>
      <c r="Q44" s="173"/>
      <c r="R44" s="174">
        <f>F34</f>
        <v>1016725</v>
      </c>
      <c r="S44" s="174"/>
      <c r="W44" s="15"/>
    </row>
    <row r="45" spans="2:23">
      <c r="B45" s="86" t="s">
        <v>106</v>
      </c>
      <c r="C45" s="42"/>
      <c r="D45" s="42">
        <v>50000</v>
      </c>
      <c r="E45" s="91" t="s">
        <v>19</v>
      </c>
      <c r="K45" s="173"/>
      <c r="L45" s="173"/>
      <c r="M45" s="174"/>
      <c r="N45" s="174"/>
      <c r="O45" s="5"/>
      <c r="P45" s="173" t="s">
        <v>58</v>
      </c>
      <c r="Q45" s="173"/>
      <c r="R45" s="174">
        <f>C35</f>
        <v>915919</v>
      </c>
      <c r="S45" s="174"/>
      <c r="W45" s="29"/>
    </row>
    <row r="46" spans="2:23">
      <c r="B46" s="44"/>
      <c r="C46" s="46"/>
      <c r="D46" s="46">
        <v>50000</v>
      </c>
      <c r="E46" s="87" t="s">
        <v>23</v>
      </c>
      <c r="K46" s="63"/>
      <c r="L46" s="63"/>
      <c r="M46" s="56"/>
      <c r="N46" s="56"/>
      <c r="O46" s="5"/>
      <c r="P46" s="173" t="s">
        <v>68</v>
      </c>
      <c r="Q46" s="173"/>
      <c r="R46" s="174">
        <f>F39</f>
        <v>87865</v>
      </c>
      <c r="S46" s="174"/>
    </row>
    <row r="47" spans="2:23" ht="15.75">
      <c r="B47" s="44"/>
      <c r="C47" s="46"/>
      <c r="D47" s="46">
        <v>50000</v>
      </c>
      <c r="E47" s="87" t="s">
        <v>25</v>
      </c>
      <c r="K47" s="192" t="s">
        <v>12</v>
      </c>
      <c r="L47" s="192"/>
      <c r="M47" s="193">
        <f>M34+M41</f>
        <v>1321824</v>
      </c>
      <c r="N47" s="193"/>
      <c r="O47" s="59"/>
      <c r="P47" s="192" t="s">
        <v>12</v>
      </c>
      <c r="Q47" s="192"/>
      <c r="R47" s="193">
        <f>R34+R38+R42+R46</f>
        <v>1321824</v>
      </c>
      <c r="S47" s="193"/>
    </row>
    <row r="48" spans="2:23">
      <c r="B48" s="92"/>
      <c r="C48" s="46"/>
      <c r="D48" s="85">
        <v>65000</v>
      </c>
      <c r="E48" s="87" t="s">
        <v>30</v>
      </c>
    </row>
    <row r="49" spans="2:8" ht="16.5" thickBot="1">
      <c r="B49" s="93"/>
      <c r="C49" s="94" t="s">
        <v>94</v>
      </c>
      <c r="D49" s="95">
        <f>SUM(D45:D48)</f>
        <v>215000</v>
      </c>
      <c r="E49" s="96"/>
      <c r="F49" s="30"/>
      <c r="H49" s="30"/>
    </row>
    <row r="50" spans="2:8">
      <c r="B50" s="32"/>
      <c r="E50" s="33"/>
      <c r="F50" s="30"/>
      <c r="H50" s="30"/>
    </row>
    <row r="51" spans="2:8">
      <c r="B51" s="32"/>
      <c r="E51" s="33"/>
      <c r="F51" s="30"/>
      <c r="H51" s="30"/>
    </row>
    <row r="52" spans="2:8">
      <c r="B52" s="32"/>
      <c r="E52" s="33"/>
      <c r="F52" s="30"/>
      <c r="G52" s="30"/>
      <c r="H52" s="30"/>
    </row>
    <row r="53" spans="2:8">
      <c r="B53" s="33"/>
      <c r="C53" s="39"/>
      <c r="E53" s="33"/>
      <c r="F53" s="30"/>
      <c r="H53" s="30"/>
    </row>
    <row r="54" spans="2:8">
      <c r="B54" s="33"/>
      <c r="C54" s="30"/>
      <c r="E54" s="33"/>
      <c r="F54" s="30"/>
      <c r="H54" s="30"/>
    </row>
    <row r="55" spans="2:8">
      <c r="E55" s="32"/>
    </row>
  </sheetData>
  <mergeCells count="58">
    <mergeCell ref="P44:Q44"/>
    <mergeCell ref="R44:S44"/>
    <mergeCell ref="K47:L47"/>
    <mergeCell ref="M47:N47"/>
    <mergeCell ref="P47:Q47"/>
    <mergeCell ref="R47:S47"/>
    <mergeCell ref="K45:L45"/>
    <mergeCell ref="M45:N45"/>
    <mergeCell ref="P45:Q45"/>
    <mergeCell ref="R45:S45"/>
    <mergeCell ref="P46:Q46"/>
    <mergeCell ref="R46:S46"/>
    <mergeCell ref="K42:L42"/>
    <mergeCell ref="M42:N42"/>
    <mergeCell ref="P42:Q42"/>
    <mergeCell ref="R42:S42"/>
    <mergeCell ref="K43:L43"/>
    <mergeCell ref="M43:N43"/>
    <mergeCell ref="P43:Q43"/>
    <mergeCell ref="R43:S43"/>
    <mergeCell ref="K40:L40"/>
    <mergeCell ref="M40:N40"/>
    <mergeCell ref="P40:Q40"/>
    <mergeCell ref="R40:S40"/>
    <mergeCell ref="K41:L41"/>
    <mergeCell ref="M41:N41"/>
    <mergeCell ref="P41:Q41"/>
    <mergeCell ref="R41:S41"/>
    <mergeCell ref="K38:L38"/>
    <mergeCell ref="M38:N38"/>
    <mergeCell ref="P38:Q38"/>
    <mergeCell ref="R38:S38"/>
    <mergeCell ref="K39:L39"/>
    <mergeCell ref="M39:N39"/>
    <mergeCell ref="P39:Q39"/>
    <mergeCell ref="R39:S39"/>
    <mergeCell ref="K36:L36"/>
    <mergeCell ref="M36:N36"/>
    <mergeCell ref="P36:Q36"/>
    <mergeCell ref="R36:S36"/>
    <mergeCell ref="K37:L37"/>
    <mergeCell ref="M37:N37"/>
    <mergeCell ref="P37:Q37"/>
    <mergeCell ref="R37:S37"/>
    <mergeCell ref="K34:L34"/>
    <mergeCell ref="M34:N34"/>
    <mergeCell ref="P34:Q34"/>
    <mergeCell ref="R34:S34"/>
    <mergeCell ref="K35:L35"/>
    <mergeCell ref="M35:N35"/>
    <mergeCell ref="P35:Q35"/>
    <mergeCell ref="R35:S35"/>
    <mergeCell ref="B31:G31"/>
    <mergeCell ref="K32:S32"/>
    <mergeCell ref="K33:L33"/>
    <mergeCell ref="M33:N33"/>
    <mergeCell ref="P33:Q33"/>
    <mergeCell ref="R33:S33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Z55"/>
  <sheetViews>
    <sheetView topLeftCell="A19" workbookViewId="0">
      <selection activeCell="F40" sqref="F40"/>
    </sheetView>
  </sheetViews>
  <sheetFormatPr defaultRowHeight="15"/>
  <cols>
    <col min="1" max="1" width="9.140625" style="3"/>
    <col min="2" max="2" width="20.140625" style="3" bestFit="1" customWidth="1"/>
    <col min="3" max="3" width="16.42578125" style="3" bestFit="1" customWidth="1"/>
    <col min="4" max="4" width="11.28515625" style="3" bestFit="1" customWidth="1"/>
    <col min="5" max="5" width="19.140625" style="3" bestFit="1" customWidth="1"/>
    <col min="6" max="6" width="16.42578125" style="3" bestFit="1" customWidth="1"/>
    <col min="7" max="7" width="10.140625" style="3" bestFit="1" customWidth="1"/>
    <col min="8" max="8" width="12.7109375" style="3" bestFit="1" customWidth="1"/>
    <col min="9" max="10" width="11.7109375" style="3" bestFit="1" customWidth="1"/>
    <col min="11" max="11" width="10.28515625" style="3" bestFit="1" customWidth="1"/>
    <col min="12" max="12" width="13.140625" style="3" bestFit="1" customWidth="1"/>
    <col min="13" max="13" width="9.140625" style="3"/>
    <col min="14" max="14" width="14.7109375" style="3" bestFit="1" customWidth="1"/>
    <col min="15" max="15" width="11.7109375" style="3" bestFit="1" customWidth="1"/>
    <col min="16" max="16" width="10.140625" style="3" bestFit="1" customWidth="1"/>
    <col min="17" max="17" width="11.7109375" style="3" bestFit="1" customWidth="1"/>
    <col min="18" max="18" width="10.28515625" style="3" bestFit="1" customWidth="1"/>
    <col min="19" max="19" width="13.140625" style="3" bestFit="1" customWidth="1"/>
    <col min="20" max="20" width="9.140625" style="3"/>
    <col min="21" max="21" width="14.7109375" style="3" bestFit="1" customWidth="1"/>
    <col min="22" max="22" width="12.7109375" style="3" bestFit="1" customWidth="1"/>
    <col min="23" max="24" width="11.7109375" style="3" bestFit="1" customWidth="1"/>
    <col min="25" max="25" width="10.28515625" style="3" bestFit="1" customWidth="1"/>
    <col min="26" max="26" width="13.140625" style="3" bestFit="1" customWidth="1"/>
    <col min="27" max="27" width="9.140625" style="3"/>
    <col min="28" max="28" width="14.7109375" style="3" bestFit="1" customWidth="1"/>
    <col min="29" max="30" width="10.140625" style="3" bestFit="1" customWidth="1"/>
    <col min="31" max="31" width="11.7109375" style="3" bestFit="1" customWidth="1"/>
    <col min="32" max="32" width="10.28515625" style="3" bestFit="1" customWidth="1"/>
    <col min="33" max="33" width="13.140625" style="3" bestFit="1" customWidth="1"/>
    <col min="34" max="34" width="9.140625" style="3"/>
    <col min="35" max="35" width="14.7109375" style="3" bestFit="1" customWidth="1"/>
    <col min="36" max="36" width="14.28515625" style="3" bestFit="1" customWidth="1"/>
    <col min="37" max="37" width="9.140625" style="3"/>
    <col min="38" max="39" width="11.7109375" style="3" bestFit="1" customWidth="1"/>
    <col min="40" max="40" width="13.140625" style="3" bestFit="1" customWidth="1"/>
    <col min="41" max="41" width="9.140625" style="3"/>
    <col min="42" max="42" width="14.7109375" style="3" bestFit="1" customWidth="1"/>
    <col min="43" max="43" width="14.28515625" style="3" bestFit="1" customWidth="1"/>
    <col min="44" max="44" width="10.140625" style="3" bestFit="1" customWidth="1"/>
    <col min="45" max="46" width="9.140625" style="3"/>
    <col min="47" max="47" width="11.7109375" style="3" bestFit="1" customWidth="1"/>
    <col min="48" max="48" width="10.28515625" style="3" bestFit="1" customWidth="1"/>
    <col min="49" max="49" width="13.140625" style="3" bestFit="1" customWidth="1"/>
    <col min="50" max="50" width="9.140625" style="3"/>
    <col min="51" max="51" width="14.7109375" style="3" bestFit="1" customWidth="1"/>
    <col min="52" max="52" width="10.140625" style="3" bestFit="1" customWidth="1"/>
    <col min="53" max="53" width="9.140625" style="3"/>
    <col min="54" max="54" width="11.7109375" style="3" bestFit="1" customWidth="1"/>
    <col min="55" max="55" width="10.28515625" style="3" bestFit="1" customWidth="1"/>
    <col min="56" max="56" width="13.140625" style="3" bestFit="1" customWidth="1"/>
    <col min="57" max="57" width="9.140625" style="3"/>
    <col min="58" max="58" width="14.7109375" style="3" bestFit="1" customWidth="1"/>
    <col min="59" max="59" width="14.28515625" style="3" bestFit="1" customWidth="1"/>
    <col min="60" max="60" width="10.140625" style="3" bestFit="1" customWidth="1"/>
    <col min="61" max="61" width="11.7109375" style="3" bestFit="1" customWidth="1"/>
    <col min="62" max="62" width="10.28515625" style="3" bestFit="1" customWidth="1"/>
    <col min="63" max="63" width="13.140625" style="3" bestFit="1" customWidth="1"/>
    <col min="64" max="64" width="9.140625" style="3"/>
    <col min="65" max="65" width="14.7109375" style="3" bestFit="1" customWidth="1"/>
    <col min="66" max="66" width="12.7109375" style="3" bestFit="1" customWidth="1"/>
    <col min="67" max="67" width="10.140625" style="3" bestFit="1" customWidth="1"/>
    <col min="68" max="68" width="11.7109375" style="3" bestFit="1" customWidth="1"/>
    <col min="69" max="69" width="10.28515625" style="3" bestFit="1" customWidth="1"/>
    <col min="70" max="70" width="13.140625" style="3" bestFit="1" customWidth="1"/>
    <col min="71" max="71" width="9.140625" style="3"/>
    <col min="72" max="72" width="14.7109375" style="3" bestFit="1" customWidth="1"/>
    <col min="73" max="73" width="14.28515625" style="3" bestFit="1" customWidth="1"/>
    <col min="74" max="74" width="10.140625" style="3" bestFit="1" customWidth="1"/>
    <col min="75" max="75" width="11.7109375" style="3" bestFit="1" customWidth="1"/>
    <col min="76" max="76" width="10.28515625" style="3" bestFit="1" customWidth="1"/>
    <col min="77" max="77" width="13.140625" style="3" bestFit="1" customWidth="1"/>
    <col min="78" max="78" width="9.140625" style="3"/>
    <col min="79" max="79" width="14.7109375" style="3" bestFit="1" customWidth="1"/>
    <col min="80" max="80" width="12.7109375" style="3" bestFit="1" customWidth="1"/>
    <col min="81" max="81" width="9.140625" style="3" bestFit="1" customWidth="1"/>
    <col min="82" max="82" width="11.7109375" style="3" bestFit="1" customWidth="1"/>
    <col min="83" max="83" width="10.28515625" style="3" bestFit="1" customWidth="1"/>
    <col min="84" max="84" width="13.140625" style="3" bestFit="1" customWidth="1"/>
    <col min="85" max="85" width="9.140625" style="3"/>
    <col min="86" max="86" width="14.7109375" style="3" bestFit="1" customWidth="1"/>
    <col min="87" max="87" width="12.7109375" style="3" bestFit="1" customWidth="1"/>
    <col min="88" max="88" width="10.140625" style="3" bestFit="1" customWidth="1"/>
    <col min="89" max="89" width="20.140625" style="3" bestFit="1" customWidth="1"/>
    <col min="90" max="90" width="11.7109375" style="3" bestFit="1" customWidth="1"/>
    <col min="91" max="91" width="10.140625" style="3" bestFit="1" customWidth="1"/>
    <col min="92" max="93" width="9.140625" style="3"/>
    <col min="94" max="95" width="11.7109375" style="3" bestFit="1" customWidth="1"/>
    <col min="96" max="96" width="11.7109375" style="3" customWidth="1"/>
    <col min="97" max="97" width="10.140625" style="3" bestFit="1" customWidth="1"/>
    <col min="98" max="98" width="10.140625" style="3" customWidth="1"/>
    <col min="99" max="99" width="11.7109375" style="40" bestFit="1" customWidth="1"/>
    <col min="100" max="100" width="10.140625" style="3" bestFit="1" customWidth="1"/>
    <col min="101" max="101" width="9.140625" style="3"/>
    <col min="102" max="102" width="10.140625" style="3" bestFit="1" customWidth="1"/>
    <col min="103" max="103" width="11.7109375" style="3" bestFit="1" customWidth="1"/>
    <col min="104" max="104" width="10.140625" style="3" bestFit="1" customWidth="1"/>
    <col min="105" max="16384" width="9.140625" style="3"/>
  </cols>
  <sheetData>
    <row r="1" spans="1:104">
      <c r="D1" s="4">
        <v>43556</v>
      </c>
      <c r="L1" s="4">
        <v>43221</v>
      </c>
      <c r="S1" s="4">
        <v>43252</v>
      </c>
      <c r="Z1" s="4">
        <v>43282</v>
      </c>
      <c r="AF1" s="4">
        <v>43313</v>
      </c>
      <c r="AM1" s="3" t="s">
        <v>0</v>
      </c>
      <c r="AX1" s="3" t="s">
        <v>1</v>
      </c>
      <c r="BE1" s="3" t="s">
        <v>2</v>
      </c>
      <c r="BK1" s="3" t="s">
        <v>3</v>
      </c>
      <c r="BS1" s="3" t="s">
        <v>4</v>
      </c>
      <c r="BX1" s="3" t="s">
        <v>5</v>
      </c>
      <c r="CE1" s="3" t="s">
        <v>69</v>
      </c>
    </row>
    <row r="2" spans="1:104" ht="15.75">
      <c r="B2" s="10" t="s">
        <v>6</v>
      </c>
      <c r="C2" s="23" t="s">
        <v>7</v>
      </c>
      <c r="D2" s="11" t="s">
        <v>8</v>
      </c>
      <c r="E2" s="11" t="s">
        <v>9</v>
      </c>
      <c r="F2" s="11" t="s">
        <v>10</v>
      </c>
      <c r="G2" s="22" t="s">
        <v>11</v>
      </c>
      <c r="H2" s="12" t="s">
        <v>12</v>
      </c>
      <c r="I2" s="13" t="s">
        <v>13</v>
      </c>
      <c r="J2" s="23" t="s">
        <v>7</v>
      </c>
      <c r="K2" s="11" t="s">
        <v>8</v>
      </c>
      <c r="L2" s="11" t="s">
        <v>9</v>
      </c>
      <c r="M2" s="11" t="s">
        <v>10</v>
      </c>
      <c r="N2" s="11" t="s">
        <v>14</v>
      </c>
      <c r="O2" s="12" t="s">
        <v>12</v>
      </c>
      <c r="P2" s="16" t="s">
        <v>7</v>
      </c>
      <c r="Q2" s="23" t="s">
        <v>7</v>
      </c>
      <c r="R2" s="11" t="s">
        <v>8</v>
      </c>
      <c r="S2" s="11" t="s">
        <v>9</v>
      </c>
      <c r="T2" s="11" t="s">
        <v>10</v>
      </c>
      <c r="U2" s="11" t="s">
        <v>14</v>
      </c>
      <c r="V2" s="12" t="s">
        <v>12</v>
      </c>
      <c r="W2" s="16" t="s">
        <v>7</v>
      </c>
      <c r="X2" s="23" t="s">
        <v>7</v>
      </c>
      <c r="Y2" s="11" t="s">
        <v>8</v>
      </c>
      <c r="Z2" s="11" t="s">
        <v>9</v>
      </c>
      <c r="AA2" s="11" t="s">
        <v>10</v>
      </c>
      <c r="AB2" s="11" t="s">
        <v>14</v>
      </c>
      <c r="AC2" s="12" t="s">
        <v>12</v>
      </c>
      <c r="AD2" s="16" t="s">
        <v>7</v>
      </c>
      <c r="AE2" s="23" t="s">
        <v>7</v>
      </c>
      <c r="AF2" s="11" t="s">
        <v>8</v>
      </c>
      <c r="AG2" s="11" t="s">
        <v>9</v>
      </c>
      <c r="AH2" s="11" t="s">
        <v>10</v>
      </c>
      <c r="AI2" s="11" t="s">
        <v>14</v>
      </c>
      <c r="AJ2" s="12" t="s">
        <v>12</v>
      </c>
      <c r="AK2" s="16" t="s">
        <v>7</v>
      </c>
      <c r="AL2" s="23" t="s">
        <v>7</v>
      </c>
      <c r="AM2" s="11" t="s">
        <v>8</v>
      </c>
      <c r="AN2" s="11" t="s">
        <v>9</v>
      </c>
      <c r="AO2" s="11" t="s">
        <v>10</v>
      </c>
      <c r="AP2" s="11" t="s">
        <v>14</v>
      </c>
      <c r="AQ2" s="12" t="s">
        <v>12</v>
      </c>
      <c r="AR2" s="26" t="s">
        <v>15</v>
      </c>
      <c r="AS2" s="16" t="s">
        <v>7</v>
      </c>
      <c r="AU2" s="23" t="s">
        <v>7</v>
      </c>
      <c r="AV2" s="11" t="s">
        <v>8</v>
      </c>
      <c r="AW2" s="11" t="s">
        <v>9</v>
      </c>
      <c r="AX2" s="11" t="s">
        <v>10</v>
      </c>
      <c r="AY2" s="11" t="s">
        <v>14</v>
      </c>
      <c r="AZ2" s="12" t="s">
        <v>12</v>
      </c>
      <c r="BA2" s="16" t="s">
        <v>7</v>
      </c>
      <c r="BB2" s="23" t="s">
        <v>7</v>
      </c>
      <c r="BC2" s="11" t="s">
        <v>8</v>
      </c>
      <c r="BD2" s="11" t="s">
        <v>9</v>
      </c>
      <c r="BE2" s="11" t="s">
        <v>10</v>
      </c>
      <c r="BF2" s="11" t="s">
        <v>14</v>
      </c>
      <c r="BG2" s="12" t="s">
        <v>12</v>
      </c>
      <c r="BH2" s="16" t="s">
        <v>7</v>
      </c>
      <c r="BI2" s="23" t="s">
        <v>7</v>
      </c>
      <c r="BJ2" s="11" t="s">
        <v>8</v>
      </c>
      <c r="BK2" s="11" t="s">
        <v>9</v>
      </c>
      <c r="BL2" s="11" t="s">
        <v>10</v>
      </c>
      <c r="BM2" s="11" t="s">
        <v>14</v>
      </c>
      <c r="BN2" s="12" t="s">
        <v>12</v>
      </c>
      <c r="BO2" s="16" t="s">
        <v>7</v>
      </c>
      <c r="BP2" s="23" t="s">
        <v>7</v>
      </c>
      <c r="BQ2" s="11" t="s">
        <v>8</v>
      </c>
      <c r="BR2" s="11" t="s">
        <v>9</v>
      </c>
      <c r="BS2" s="11" t="s">
        <v>10</v>
      </c>
      <c r="BT2" s="11" t="s">
        <v>14</v>
      </c>
      <c r="BU2" s="12" t="s">
        <v>12</v>
      </c>
      <c r="BV2" s="16" t="s">
        <v>7</v>
      </c>
      <c r="BW2" s="23" t="s">
        <v>7</v>
      </c>
      <c r="BX2" s="11" t="s">
        <v>8</v>
      </c>
      <c r="BY2" s="11" t="s">
        <v>9</v>
      </c>
      <c r="BZ2" s="11" t="s">
        <v>10</v>
      </c>
      <c r="CA2" s="11" t="s">
        <v>14</v>
      </c>
      <c r="CB2" s="12" t="s">
        <v>12</v>
      </c>
      <c r="CC2" s="16" t="s">
        <v>7</v>
      </c>
      <c r="CD2" s="23" t="s">
        <v>7</v>
      </c>
      <c r="CE2" s="11" t="s">
        <v>8</v>
      </c>
      <c r="CF2" s="11" t="s">
        <v>9</v>
      </c>
      <c r="CG2" s="11" t="s">
        <v>10</v>
      </c>
      <c r="CH2" s="11" t="s">
        <v>14</v>
      </c>
      <c r="CI2" s="12" t="s">
        <v>12</v>
      </c>
      <c r="CJ2" s="16" t="s">
        <v>7</v>
      </c>
      <c r="CL2" s="3" t="s">
        <v>16</v>
      </c>
      <c r="CN2" s="3" t="s">
        <v>17</v>
      </c>
      <c r="CP2" s="3" t="s">
        <v>88</v>
      </c>
      <c r="CQ2" s="3" t="s">
        <v>43</v>
      </c>
      <c r="CS2" s="3" t="s">
        <v>89</v>
      </c>
      <c r="CT2" s="3" t="s">
        <v>89</v>
      </c>
      <c r="CU2" s="40" t="s">
        <v>90</v>
      </c>
      <c r="CV2" s="3" t="s">
        <v>18</v>
      </c>
      <c r="CW2" s="3" t="s">
        <v>77</v>
      </c>
      <c r="CX2" s="3" t="s">
        <v>13</v>
      </c>
      <c r="CY2" s="3" t="s">
        <v>70</v>
      </c>
    </row>
    <row r="3" spans="1:104">
      <c r="A3" s="5">
        <v>1</v>
      </c>
      <c r="B3" s="5" t="s">
        <v>19</v>
      </c>
      <c r="C3" s="7">
        <f>'2018'!CL3</f>
        <v>75527</v>
      </c>
      <c r="D3" s="6">
        <f>H3-(E3+F3+G3)</f>
        <v>8622</v>
      </c>
      <c r="E3" s="6">
        <f>MROUND(((C3*0.5)/100),1)</f>
        <v>378</v>
      </c>
      <c r="F3" s="6">
        <v>5000</v>
      </c>
      <c r="G3" s="6">
        <v>1000</v>
      </c>
      <c r="H3" s="6">
        <v>15000</v>
      </c>
      <c r="I3" s="6"/>
      <c r="J3" s="21">
        <f>C3-D3+I3</f>
        <v>66905</v>
      </c>
      <c r="K3" s="6">
        <f>O3-(L3+M3+N3)</f>
        <v>8665</v>
      </c>
      <c r="L3" s="6">
        <f>MROUND(((J3*0.5)/100),1)</f>
        <v>335</v>
      </c>
      <c r="M3" s="6">
        <v>5000</v>
      </c>
      <c r="N3" s="6">
        <v>1000</v>
      </c>
      <c r="O3" s="6">
        <v>15000</v>
      </c>
      <c r="P3" s="6"/>
      <c r="Q3" s="21">
        <f>J3-K3+P3</f>
        <v>58240</v>
      </c>
      <c r="R3" s="6">
        <f>V3-(S3+T3+U3)</f>
        <v>5709</v>
      </c>
      <c r="S3" s="6">
        <f>MROUND(((Q3*0.5)/100),1)</f>
        <v>291</v>
      </c>
      <c r="T3" s="6">
        <v>5000</v>
      </c>
      <c r="U3" s="6">
        <v>1000</v>
      </c>
      <c r="V3" s="6">
        <v>12000</v>
      </c>
      <c r="W3" s="6"/>
      <c r="X3" s="21">
        <f>Q3-R3+W3</f>
        <v>52531</v>
      </c>
      <c r="Y3" s="6">
        <f>AC3-(Z3+AA3+AB3)</f>
        <v>5737</v>
      </c>
      <c r="Z3" s="6">
        <f>MROUND(((X3*0.5)/100),1)</f>
        <v>263</v>
      </c>
      <c r="AA3" s="6">
        <v>5000</v>
      </c>
      <c r="AB3" s="6">
        <v>1000</v>
      </c>
      <c r="AC3" s="6">
        <v>12000</v>
      </c>
      <c r="AD3" s="6"/>
      <c r="AE3" s="21">
        <f>X3-Y3+AD3</f>
        <v>46794</v>
      </c>
      <c r="AF3" s="6">
        <f>AJ3-(AG3+AH3+AI3)</f>
        <v>5766</v>
      </c>
      <c r="AG3" s="6">
        <f>MROUND(((AE3*0.5)/100),1)</f>
        <v>234</v>
      </c>
      <c r="AH3" s="6">
        <v>5000</v>
      </c>
      <c r="AI3" s="6">
        <v>1000</v>
      </c>
      <c r="AJ3" s="6">
        <v>12000</v>
      </c>
      <c r="AK3" s="6"/>
      <c r="AL3" s="21">
        <f>AE3-AF3+AK3</f>
        <v>41028</v>
      </c>
      <c r="AM3" s="6">
        <f>AQ3-(AN3+AO3+AP3)</f>
        <v>6795</v>
      </c>
      <c r="AN3" s="6">
        <f>MROUND(((AL3*0.5)/100),1)</f>
        <v>205</v>
      </c>
      <c r="AO3" s="6">
        <v>5000</v>
      </c>
      <c r="AP3" s="6">
        <v>0</v>
      </c>
      <c r="AQ3" s="6">
        <v>12000</v>
      </c>
      <c r="AR3" s="6">
        <v>0</v>
      </c>
      <c r="AS3" s="6">
        <v>0</v>
      </c>
      <c r="AU3" s="21">
        <f>AL3-AM3+AS3</f>
        <v>34233</v>
      </c>
      <c r="AV3" s="6">
        <f>AZ3-(AW3+AX3+AY3)</f>
        <v>5829</v>
      </c>
      <c r="AW3" s="6">
        <f>MROUND(((AU3*0.5)/100),1)</f>
        <v>171</v>
      </c>
      <c r="AX3" s="6">
        <v>5000</v>
      </c>
      <c r="AY3" s="6">
        <v>0</v>
      </c>
      <c r="AZ3" s="6">
        <v>11000</v>
      </c>
      <c r="BA3" s="6">
        <v>0</v>
      </c>
      <c r="BB3" s="21">
        <f>AU3-AV3+BA3</f>
        <v>28404</v>
      </c>
      <c r="BC3" s="6">
        <f>BG3-(BD3+BE3+BF3)</f>
        <v>6858</v>
      </c>
      <c r="BD3" s="6">
        <f>MROUND(((BB3*0.5)/100),1)</f>
        <v>142</v>
      </c>
      <c r="BE3" s="6">
        <v>5000</v>
      </c>
      <c r="BF3" s="6">
        <v>0</v>
      </c>
      <c r="BG3" s="6">
        <v>12000</v>
      </c>
      <c r="BH3" s="6"/>
      <c r="BI3" s="21">
        <f>BB3-BC3+BH3</f>
        <v>21546</v>
      </c>
      <c r="BJ3" s="6">
        <f>BN3-(BK3+BL3+BM3)</f>
        <v>6892</v>
      </c>
      <c r="BK3" s="6">
        <f>MROUND(((BI3*0.5)/100),1)</f>
        <v>108</v>
      </c>
      <c r="BL3" s="6">
        <v>5000</v>
      </c>
      <c r="BM3" s="6">
        <v>0</v>
      </c>
      <c r="BN3" s="6">
        <v>12000</v>
      </c>
      <c r="BO3" s="6"/>
      <c r="BP3" s="21">
        <f>BI3-BJ3+BO3</f>
        <v>14654</v>
      </c>
      <c r="BQ3" s="6">
        <f>BU3-(BR3+BS3+BT3)</f>
        <v>14654</v>
      </c>
      <c r="BR3" s="6">
        <f>MROUND(((BP3*0.5)/100),1)</f>
        <v>73</v>
      </c>
      <c r="BS3" s="6"/>
      <c r="BT3" s="6"/>
      <c r="BU3" s="21">
        <v>14727</v>
      </c>
      <c r="BV3" s="6">
        <v>0</v>
      </c>
      <c r="BW3" s="21">
        <f>BP3-BQ3+BV3</f>
        <v>0</v>
      </c>
      <c r="BX3" s="6">
        <f>CB3-(BY3+BZ3+CA3)</f>
        <v>0</v>
      </c>
      <c r="BY3" s="6">
        <f>MROUND(((BW3*0.5)/100),1)</f>
        <v>0</v>
      </c>
      <c r="BZ3" s="6"/>
      <c r="CA3" s="6"/>
      <c r="CB3" s="6"/>
      <c r="CC3" s="6"/>
      <c r="CD3" s="21">
        <f>BW3-BX3+CC3</f>
        <v>0</v>
      </c>
      <c r="CE3" s="6">
        <f>CI3-(CF3+CG3+CH3)</f>
        <v>0</v>
      </c>
      <c r="CF3" s="6">
        <f>MROUND(((CD3*0.5)/100),1)</f>
        <v>0</v>
      </c>
      <c r="CG3" s="6"/>
      <c r="CH3" s="6"/>
      <c r="CI3" s="6"/>
      <c r="CJ3" s="6"/>
      <c r="CK3" s="5" t="s">
        <v>19</v>
      </c>
      <c r="CL3" s="14">
        <f>CD3-CE3+CJ3</f>
        <v>0</v>
      </c>
      <c r="CM3" s="14">
        <v>75475</v>
      </c>
      <c r="CN3" s="14">
        <v>0</v>
      </c>
      <c r="CO3" s="14">
        <v>10000</v>
      </c>
      <c r="CP3" s="14">
        <f>'2018'!CS3</f>
        <v>103201</v>
      </c>
      <c r="CQ3" s="14">
        <v>0</v>
      </c>
      <c r="CR3" s="14">
        <f>CP3+F3+M3+T3+AA3+AH3+AO3+AX3+BE3+BL3+BS3+BZ3+CG3</f>
        <v>148201</v>
      </c>
      <c r="CT3" s="3">
        <f>MROUND((CR3*$M$41)/$M$34,1)</f>
        <v>6255</v>
      </c>
      <c r="CU3" s="41">
        <f>CR3+CS3</f>
        <v>148201</v>
      </c>
      <c r="CV3" s="14">
        <v>78017</v>
      </c>
      <c r="CW3" s="14">
        <v>2327</v>
      </c>
      <c r="CX3" s="14">
        <v>0</v>
      </c>
      <c r="CY3" s="14">
        <v>0</v>
      </c>
      <c r="CZ3" s="14">
        <v>45000</v>
      </c>
    </row>
    <row r="4" spans="1:104">
      <c r="A4" s="5">
        <v>2</v>
      </c>
      <c r="B4" s="5" t="s">
        <v>21</v>
      </c>
      <c r="C4" s="7">
        <f>'2018'!CL4</f>
        <v>0</v>
      </c>
      <c r="D4" s="6">
        <f t="shared" ref="D4:D25" si="0">H4-(E4+F4+G4)</f>
        <v>0</v>
      </c>
      <c r="E4" s="6">
        <f t="shared" ref="E4:E23" si="1">MROUND(((C4*0.5)/100),1)</f>
        <v>0</v>
      </c>
      <c r="F4" s="6">
        <v>500</v>
      </c>
      <c r="G4" s="6">
        <v>2500</v>
      </c>
      <c r="H4" s="6">
        <v>3000</v>
      </c>
      <c r="I4" s="6"/>
      <c r="J4" s="21">
        <f t="shared" ref="J4:J25" si="2">C4-D4+I4</f>
        <v>0</v>
      </c>
      <c r="K4" s="6">
        <f t="shared" ref="K4:K25" si="3">O4-(L4+M4+N4)</f>
        <v>0</v>
      </c>
      <c r="L4" s="6">
        <f>MROUND(((J4*0.5)/100),1)</f>
        <v>0</v>
      </c>
      <c r="M4" s="6">
        <v>500</v>
      </c>
      <c r="N4" s="6">
        <v>2500</v>
      </c>
      <c r="O4" s="6">
        <v>3000</v>
      </c>
      <c r="P4" s="6"/>
      <c r="Q4" s="21">
        <f t="shared" ref="Q4:Q25" si="4">J4-K4+P4</f>
        <v>0</v>
      </c>
      <c r="R4" s="6">
        <f t="shared" ref="R4:R25" si="5">V4-(S4+T4+U4)</f>
        <v>0</v>
      </c>
      <c r="S4" s="6">
        <f t="shared" ref="S4:S24" si="6">MROUND(((Q4*0.5)/100),1)</f>
        <v>0</v>
      </c>
      <c r="T4" s="6">
        <v>500</v>
      </c>
      <c r="U4" s="6">
        <v>0</v>
      </c>
      <c r="V4" s="6">
        <v>500</v>
      </c>
      <c r="W4" s="6"/>
      <c r="X4" s="21">
        <f t="shared" ref="X4:X25" si="7">Q4-R4+W4</f>
        <v>0</v>
      </c>
      <c r="Y4" s="6">
        <f t="shared" ref="Y4:Y25" si="8">AC4-(Z4+AA4+AB4)</f>
        <v>0</v>
      </c>
      <c r="Z4" s="6">
        <f t="shared" ref="Z4:Z24" si="9">MROUND(((X4*0.5)/100),1)</f>
        <v>0</v>
      </c>
      <c r="AA4" s="6">
        <v>500</v>
      </c>
      <c r="AB4" s="6">
        <v>0</v>
      </c>
      <c r="AC4" s="6">
        <v>500</v>
      </c>
      <c r="AD4" s="6"/>
      <c r="AE4" s="21">
        <f t="shared" ref="AE4:AE25" si="10">X4-Y4+AD4</f>
        <v>0</v>
      </c>
      <c r="AF4" s="6">
        <f t="shared" ref="AF4:AF25" si="11">AJ4-(AG4+AH4+AI4)</f>
        <v>0</v>
      </c>
      <c r="AG4" s="6">
        <f t="shared" ref="AG4:AG24" si="12">MROUND(((AE4*0.5)/100),1)</f>
        <v>0</v>
      </c>
      <c r="AH4" s="6"/>
      <c r="AI4" s="6"/>
      <c r="AJ4" s="6"/>
      <c r="AK4" s="6"/>
      <c r="AL4" s="21">
        <f t="shared" ref="AL4:AL25" si="13">AE4-AF4+AK4</f>
        <v>0</v>
      </c>
      <c r="AM4" s="6">
        <f t="shared" ref="AM4:AM25" si="14">AQ4-(AN4+AO4+AP4)</f>
        <v>0</v>
      </c>
      <c r="AN4" s="6">
        <f t="shared" ref="AN4:AN24" si="15">MROUND(((AL4*0.5)/100),1)</f>
        <v>0</v>
      </c>
      <c r="AO4" s="6"/>
      <c r="AP4" s="6"/>
      <c r="AQ4" s="6"/>
      <c r="AR4" s="6"/>
      <c r="AS4" s="6"/>
      <c r="AU4" s="21">
        <f t="shared" ref="AU4:AU25" si="16">AL4-AM4+AS4</f>
        <v>0</v>
      </c>
      <c r="AV4" s="6">
        <f t="shared" ref="AV4:AV25" si="17">AZ4-(AW4+AX4+AY4)</f>
        <v>0</v>
      </c>
      <c r="AW4" s="6">
        <f t="shared" ref="AW4:AW23" si="18">MROUND(((AU4*0.5)/100),1)</f>
        <v>0</v>
      </c>
      <c r="AX4" s="6"/>
      <c r="AY4" s="6"/>
      <c r="AZ4" s="6"/>
      <c r="BA4" s="6"/>
      <c r="BB4" s="21">
        <f t="shared" ref="BB4:BB25" si="19">AU4-AV4+BA4</f>
        <v>0</v>
      </c>
      <c r="BC4" s="6">
        <f t="shared" ref="BC4:BC25" si="20">BG4-(BD4+BE4+BF4)</f>
        <v>0</v>
      </c>
      <c r="BD4" s="6">
        <f t="shared" ref="BD4:BD23" si="21">MROUND(((BB4*0.5)/100),1)</f>
        <v>0</v>
      </c>
      <c r="BE4" s="6"/>
      <c r="BF4" s="6"/>
      <c r="BG4" s="6"/>
      <c r="BH4" s="6"/>
      <c r="BI4" s="21">
        <f t="shared" ref="BI4:BI24" si="22">BB4-BC4+BH4</f>
        <v>0</v>
      </c>
      <c r="BJ4" s="6">
        <f t="shared" ref="BJ4:BJ25" si="23">BN4-(BK4+BL4+BM4)</f>
        <v>0</v>
      </c>
      <c r="BK4" s="6">
        <f t="shared" ref="BK4:BK23" si="24">MROUND(((BI4*0.5)/100),1)</f>
        <v>0</v>
      </c>
      <c r="BL4" s="6"/>
      <c r="BM4" s="6"/>
      <c r="BN4" s="6"/>
      <c r="BO4" s="6"/>
      <c r="BP4" s="21">
        <f t="shared" ref="BP4:BP25" si="25">BI4-BJ4+BO4</f>
        <v>0</v>
      </c>
      <c r="BQ4" s="6">
        <f t="shared" ref="BQ4:BQ25" si="26">BU4-(BR4+BS4+BT4)</f>
        <v>0</v>
      </c>
      <c r="BR4" s="6">
        <f t="shared" ref="BR4:BR23" si="27">MROUND(((BP4*0.5)/100),1)</f>
        <v>0</v>
      </c>
      <c r="BS4" s="6"/>
      <c r="BT4" s="6"/>
      <c r="BU4" s="6"/>
      <c r="BV4" s="6"/>
      <c r="BW4" s="21">
        <f t="shared" ref="BW4:BW25" si="28">BP4-BQ4+BV4</f>
        <v>0</v>
      </c>
      <c r="BX4" s="6">
        <f t="shared" ref="BX4:BX25" si="29">CB4-(BY4+BZ4+CA4)</f>
        <v>0</v>
      </c>
      <c r="BY4" s="6">
        <f t="shared" ref="BY4:BY23" si="30">MROUND(((BW4*0.5)/100),1)</f>
        <v>0</v>
      </c>
      <c r="BZ4" s="6"/>
      <c r="CA4" s="6"/>
      <c r="CB4" s="6"/>
      <c r="CC4" s="6"/>
      <c r="CD4" s="21">
        <f t="shared" ref="CD4:CD25" si="31">BW4-BX4+CC4</f>
        <v>0</v>
      </c>
      <c r="CE4" s="6">
        <f t="shared" ref="CE4:CE25" si="32">CI4-(CF4+CG4+CH4)</f>
        <v>0</v>
      </c>
      <c r="CF4" s="6">
        <f t="shared" ref="CF4:CF24" si="33">MROUND(((CD4*0.5)/100),1)</f>
        <v>0</v>
      </c>
      <c r="CG4" s="6"/>
      <c r="CH4" s="6"/>
      <c r="CI4" s="6"/>
      <c r="CJ4" s="6"/>
      <c r="CK4" s="5" t="s">
        <v>21</v>
      </c>
      <c r="CL4" s="14">
        <f t="shared" ref="CL4:CL25" si="34">CD4-CE4+CJ4</f>
        <v>0</v>
      </c>
      <c r="CM4" s="14">
        <v>0</v>
      </c>
      <c r="CN4" s="14">
        <v>0</v>
      </c>
      <c r="CO4" s="14">
        <v>15000</v>
      </c>
      <c r="CP4" s="14">
        <f>'2018'!CS4</f>
        <v>111425</v>
      </c>
      <c r="CQ4" s="14">
        <v>0</v>
      </c>
      <c r="CR4" s="14">
        <f>CP4+F4+M4+T4+AA4+AH4+AO4+AX4+BE4+BL4+BS4+BZ4+CG4</f>
        <v>113425</v>
      </c>
      <c r="CT4" s="3">
        <f>MROUND((CR4*$M$41)/$M$34,1)</f>
        <v>4787</v>
      </c>
      <c r="CU4" s="41">
        <f>CR4+CS4</f>
        <v>113425</v>
      </c>
      <c r="CV4" s="14">
        <v>0</v>
      </c>
      <c r="CW4" s="14">
        <v>0</v>
      </c>
      <c r="CX4" s="14">
        <v>0</v>
      </c>
      <c r="CY4" s="14">
        <v>0</v>
      </c>
      <c r="CZ4" s="14">
        <v>2000</v>
      </c>
    </row>
    <row r="5" spans="1:104">
      <c r="A5" s="5">
        <v>3</v>
      </c>
      <c r="B5" s="5" t="s">
        <v>22</v>
      </c>
      <c r="C5" s="7">
        <f>'2018'!CL5</f>
        <v>0</v>
      </c>
      <c r="D5" s="6">
        <f t="shared" si="0"/>
        <v>0</v>
      </c>
      <c r="E5" s="6">
        <f t="shared" si="1"/>
        <v>0</v>
      </c>
      <c r="F5" s="6">
        <v>1500</v>
      </c>
      <c r="G5" s="6">
        <v>1000</v>
      </c>
      <c r="H5" s="6">
        <v>2500</v>
      </c>
      <c r="I5" s="6"/>
      <c r="J5" s="21">
        <f t="shared" si="2"/>
        <v>0</v>
      </c>
      <c r="K5" s="6">
        <f t="shared" si="3"/>
        <v>0</v>
      </c>
      <c r="L5" s="6">
        <f t="shared" ref="L5:L23" si="35">MROUND(((J5*0.5)/100),1)</f>
        <v>0</v>
      </c>
      <c r="M5" s="6">
        <v>1500</v>
      </c>
      <c r="N5" s="6">
        <v>1000</v>
      </c>
      <c r="O5" s="6">
        <v>2500</v>
      </c>
      <c r="P5" s="6"/>
      <c r="Q5" s="21">
        <f t="shared" si="4"/>
        <v>0</v>
      </c>
      <c r="R5" s="6">
        <f t="shared" si="5"/>
        <v>0</v>
      </c>
      <c r="S5" s="6">
        <f t="shared" si="6"/>
        <v>0</v>
      </c>
      <c r="T5" s="6">
        <v>1500</v>
      </c>
      <c r="U5" s="6">
        <v>1000</v>
      </c>
      <c r="V5" s="6">
        <v>2500</v>
      </c>
      <c r="W5" s="6"/>
      <c r="X5" s="21">
        <f t="shared" si="7"/>
        <v>0</v>
      </c>
      <c r="Y5" s="6">
        <f t="shared" si="8"/>
        <v>0</v>
      </c>
      <c r="Z5" s="6">
        <f t="shared" si="9"/>
        <v>0</v>
      </c>
      <c r="AA5" s="6">
        <v>1500</v>
      </c>
      <c r="AB5" s="6">
        <v>1000</v>
      </c>
      <c r="AC5" s="6">
        <v>2500</v>
      </c>
      <c r="AD5" s="6"/>
      <c r="AE5" s="21">
        <f t="shared" si="10"/>
        <v>0</v>
      </c>
      <c r="AF5" s="6">
        <f t="shared" si="11"/>
        <v>0</v>
      </c>
      <c r="AG5" s="6">
        <f t="shared" si="12"/>
        <v>0</v>
      </c>
      <c r="AH5" s="6">
        <v>1500</v>
      </c>
      <c r="AI5" s="6">
        <v>1000</v>
      </c>
      <c r="AJ5" s="6">
        <v>2500</v>
      </c>
      <c r="AK5" s="6"/>
      <c r="AL5" s="21">
        <f t="shared" si="13"/>
        <v>0</v>
      </c>
      <c r="AM5" s="6">
        <f t="shared" si="14"/>
        <v>0</v>
      </c>
      <c r="AN5" s="6">
        <f t="shared" si="15"/>
        <v>0</v>
      </c>
      <c r="AO5" s="6">
        <v>1500</v>
      </c>
      <c r="AP5" s="6">
        <v>0</v>
      </c>
      <c r="AQ5" s="6">
        <v>1500</v>
      </c>
      <c r="AR5" s="6">
        <v>0</v>
      </c>
      <c r="AS5" s="6"/>
      <c r="AU5" s="21">
        <f t="shared" si="16"/>
        <v>0</v>
      </c>
      <c r="AV5" s="6">
        <f t="shared" si="17"/>
        <v>0</v>
      </c>
      <c r="AW5" s="6">
        <f t="shared" si="18"/>
        <v>0</v>
      </c>
      <c r="AX5" s="6">
        <v>1500</v>
      </c>
      <c r="AY5" s="6">
        <v>0</v>
      </c>
      <c r="AZ5" s="6">
        <v>1500</v>
      </c>
      <c r="BA5" s="6">
        <v>0</v>
      </c>
      <c r="BB5" s="21">
        <f t="shared" si="19"/>
        <v>0</v>
      </c>
      <c r="BC5" s="6">
        <f t="shared" si="20"/>
        <v>0</v>
      </c>
      <c r="BD5" s="6">
        <f t="shared" si="21"/>
        <v>0</v>
      </c>
      <c r="BE5" s="6">
        <v>1500</v>
      </c>
      <c r="BF5" s="6">
        <v>1000</v>
      </c>
      <c r="BG5" s="6">
        <v>2500</v>
      </c>
      <c r="BH5" s="6"/>
      <c r="BI5" s="21">
        <f t="shared" si="22"/>
        <v>0</v>
      </c>
      <c r="BJ5" s="6">
        <f t="shared" si="23"/>
        <v>0</v>
      </c>
      <c r="BK5" s="6">
        <f t="shared" si="24"/>
        <v>0</v>
      </c>
      <c r="BL5" s="6">
        <v>1500</v>
      </c>
      <c r="BM5" s="6">
        <v>1000</v>
      </c>
      <c r="BN5" s="6">
        <v>2500</v>
      </c>
      <c r="BO5" s="6"/>
      <c r="BP5" s="21">
        <f t="shared" si="25"/>
        <v>0</v>
      </c>
      <c r="BQ5" s="6">
        <f t="shared" si="26"/>
        <v>0</v>
      </c>
      <c r="BR5" s="6">
        <f t="shared" si="27"/>
        <v>0</v>
      </c>
      <c r="BS5" s="6">
        <v>1500</v>
      </c>
      <c r="BT5" s="6">
        <v>1000</v>
      </c>
      <c r="BU5" s="6">
        <v>2500</v>
      </c>
      <c r="BV5" s="6"/>
      <c r="BW5" s="21">
        <f t="shared" si="28"/>
        <v>0</v>
      </c>
      <c r="BX5" s="6">
        <f t="shared" si="29"/>
        <v>0</v>
      </c>
      <c r="BY5" s="6">
        <f t="shared" si="30"/>
        <v>0</v>
      </c>
      <c r="BZ5" s="6">
        <v>1500</v>
      </c>
      <c r="CA5" s="6">
        <v>1000</v>
      </c>
      <c r="CB5" s="6">
        <v>2500</v>
      </c>
      <c r="CC5" s="6"/>
      <c r="CD5" s="21">
        <f t="shared" si="31"/>
        <v>0</v>
      </c>
      <c r="CE5" s="6">
        <f t="shared" si="32"/>
        <v>0</v>
      </c>
      <c r="CF5" s="6">
        <f t="shared" si="33"/>
        <v>0</v>
      </c>
      <c r="CG5" s="6">
        <v>1500</v>
      </c>
      <c r="CH5" s="6">
        <v>1000</v>
      </c>
      <c r="CI5" s="6">
        <v>2500</v>
      </c>
      <c r="CJ5" s="6"/>
      <c r="CK5" s="5" t="s">
        <v>22</v>
      </c>
      <c r="CL5" s="14">
        <f t="shared" si="34"/>
        <v>0</v>
      </c>
      <c r="CM5" s="14">
        <v>0</v>
      </c>
      <c r="CN5" s="14">
        <v>5000</v>
      </c>
      <c r="CO5" s="14">
        <v>5000</v>
      </c>
      <c r="CP5" s="14">
        <f>'2018'!CS5</f>
        <v>81054</v>
      </c>
      <c r="CQ5" s="14">
        <f>CP5+F5+M5+T5+AA5+AH5+AO5+AX5+BE5+BL5+BS5+BZ5+CG5</f>
        <v>99054</v>
      </c>
      <c r="CR5" s="14"/>
      <c r="CS5" s="3">
        <f>MROUND((CQ5*$M$41)/$M$34,1)</f>
        <v>4181</v>
      </c>
      <c r="CU5" s="41">
        <f t="shared" ref="CU5:CU25" si="36">CQ5+CS5</f>
        <v>103235</v>
      </c>
      <c r="CV5" s="14">
        <v>0</v>
      </c>
      <c r="CW5" s="14">
        <v>0</v>
      </c>
      <c r="CX5" s="14">
        <v>0</v>
      </c>
      <c r="CY5" s="14">
        <v>0</v>
      </c>
      <c r="CZ5" s="14">
        <v>18000</v>
      </c>
    </row>
    <row r="6" spans="1:104">
      <c r="A6" s="5">
        <v>4</v>
      </c>
      <c r="B6" s="5" t="s">
        <v>23</v>
      </c>
      <c r="C6" s="7">
        <f>'2018'!CL6</f>
        <v>0</v>
      </c>
      <c r="D6" s="6">
        <f t="shared" si="0"/>
        <v>0</v>
      </c>
      <c r="E6" s="6">
        <f t="shared" si="1"/>
        <v>0</v>
      </c>
      <c r="F6" s="6">
        <v>500</v>
      </c>
      <c r="G6" s="6">
        <v>1000</v>
      </c>
      <c r="H6" s="6">
        <v>1500</v>
      </c>
      <c r="I6" s="6">
        <v>150000</v>
      </c>
      <c r="J6" s="21">
        <f t="shared" si="2"/>
        <v>150000</v>
      </c>
      <c r="K6" s="6">
        <f t="shared" si="3"/>
        <v>4750</v>
      </c>
      <c r="L6" s="6">
        <f t="shared" si="35"/>
        <v>750</v>
      </c>
      <c r="M6" s="6">
        <v>500</v>
      </c>
      <c r="N6" s="6">
        <v>1000</v>
      </c>
      <c r="O6" s="6">
        <v>7000</v>
      </c>
      <c r="P6" s="6"/>
      <c r="Q6" s="21">
        <f t="shared" si="4"/>
        <v>145250</v>
      </c>
      <c r="R6" s="6">
        <f t="shared" si="5"/>
        <v>5274</v>
      </c>
      <c r="S6" s="6">
        <f t="shared" si="6"/>
        <v>726</v>
      </c>
      <c r="T6" s="6">
        <v>500</v>
      </c>
      <c r="U6" s="6">
        <v>1000</v>
      </c>
      <c r="V6" s="6">
        <v>7500</v>
      </c>
      <c r="W6" s="6"/>
      <c r="X6" s="21">
        <f t="shared" si="7"/>
        <v>139976</v>
      </c>
      <c r="Y6" s="6">
        <f t="shared" si="8"/>
        <v>64300</v>
      </c>
      <c r="Z6" s="6">
        <f t="shared" si="9"/>
        <v>700</v>
      </c>
      <c r="AA6" s="6">
        <v>500</v>
      </c>
      <c r="AB6" s="6">
        <v>1000</v>
      </c>
      <c r="AC6" s="6">
        <v>66500</v>
      </c>
      <c r="AD6" s="6">
        <v>7500</v>
      </c>
      <c r="AE6" s="21">
        <f t="shared" si="10"/>
        <v>83176</v>
      </c>
      <c r="AF6" s="6">
        <f t="shared" si="11"/>
        <v>82584</v>
      </c>
      <c r="AG6" s="6">
        <f t="shared" si="12"/>
        <v>416</v>
      </c>
      <c r="AH6" s="6">
        <v>500</v>
      </c>
      <c r="AI6" s="6">
        <v>1000</v>
      </c>
      <c r="AJ6" s="6">
        <v>84500</v>
      </c>
      <c r="AK6" s="6"/>
      <c r="AL6" s="21">
        <f t="shared" si="13"/>
        <v>592</v>
      </c>
      <c r="AM6" s="6">
        <f t="shared" si="14"/>
        <v>-3</v>
      </c>
      <c r="AN6" s="6">
        <f t="shared" si="15"/>
        <v>3</v>
      </c>
      <c r="AO6" s="6">
        <v>500</v>
      </c>
      <c r="AP6" s="6">
        <v>0</v>
      </c>
      <c r="AQ6" s="6">
        <v>500</v>
      </c>
      <c r="AR6" s="6">
        <v>0</v>
      </c>
      <c r="AS6" s="6"/>
      <c r="AU6" s="21">
        <f t="shared" si="16"/>
        <v>595</v>
      </c>
      <c r="AV6" s="6">
        <f t="shared" si="17"/>
        <v>-3</v>
      </c>
      <c r="AW6" s="6">
        <f t="shared" si="18"/>
        <v>3</v>
      </c>
      <c r="AX6" s="6">
        <v>500</v>
      </c>
      <c r="AY6" s="6">
        <v>0</v>
      </c>
      <c r="AZ6" s="6">
        <v>500</v>
      </c>
      <c r="BA6" s="6">
        <v>0</v>
      </c>
      <c r="BB6" s="21">
        <f t="shared" si="19"/>
        <v>598</v>
      </c>
      <c r="BC6" s="6">
        <f t="shared" si="20"/>
        <v>-3</v>
      </c>
      <c r="BD6" s="6">
        <f t="shared" si="21"/>
        <v>3</v>
      </c>
      <c r="BE6" s="6">
        <v>500</v>
      </c>
      <c r="BF6" s="6">
        <v>1000</v>
      </c>
      <c r="BG6" s="6">
        <v>1500</v>
      </c>
      <c r="BH6" s="6"/>
      <c r="BI6" s="21">
        <f t="shared" si="22"/>
        <v>601</v>
      </c>
      <c r="BJ6" s="6">
        <f t="shared" si="23"/>
        <v>-3</v>
      </c>
      <c r="BK6" s="6">
        <f t="shared" si="24"/>
        <v>3</v>
      </c>
      <c r="BL6" s="6">
        <v>500</v>
      </c>
      <c r="BM6" s="6">
        <v>1000</v>
      </c>
      <c r="BN6" s="6">
        <v>1500</v>
      </c>
      <c r="BO6" s="6"/>
      <c r="BP6" s="21">
        <f t="shared" si="25"/>
        <v>604</v>
      </c>
      <c r="BQ6" s="6">
        <f t="shared" si="26"/>
        <v>-3</v>
      </c>
      <c r="BR6" s="6">
        <f t="shared" si="27"/>
        <v>3</v>
      </c>
      <c r="BS6" s="6">
        <v>500</v>
      </c>
      <c r="BT6" s="6">
        <v>1000</v>
      </c>
      <c r="BU6" s="6">
        <v>1500</v>
      </c>
      <c r="BV6" s="6"/>
      <c r="BW6" s="21">
        <f t="shared" si="28"/>
        <v>607</v>
      </c>
      <c r="BX6" s="6">
        <f t="shared" si="29"/>
        <v>-3</v>
      </c>
      <c r="BY6" s="6">
        <f t="shared" si="30"/>
        <v>3</v>
      </c>
      <c r="BZ6" s="6">
        <v>500</v>
      </c>
      <c r="CA6" s="6">
        <v>1000</v>
      </c>
      <c r="CB6" s="6">
        <v>1500</v>
      </c>
      <c r="CC6" s="6"/>
      <c r="CD6" s="21">
        <f t="shared" si="31"/>
        <v>610</v>
      </c>
      <c r="CE6" s="6">
        <f t="shared" si="32"/>
        <v>610</v>
      </c>
      <c r="CF6" s="6">
        <f t="shared" si="33"/>
        <v>3</v>
      </c>
      <c r="CG6" s="6">
        <v>500</v>
      </c>
      <c r="CH6" s="6">
        <v>1000</v>
      </c>
      <c r="CI6" s="6">
        <f>1500+613</f>
        <v>2113</v>
      </c>
      <c r="CJ6" s="6"/>
      <c r="CK6" s="5" t="s">
        <v>23</v>
      </c>
      <c r="CL6" s="14">
        <f>CD6-CE6+CJ6</f>
        <v>0</v>
      </c>
      <c r="CM6" s="14">
        <v>0</v>
      </c>
      <c r="CN6" s="14">
        <v>5000</v>
      </c>
      <c r="CO6" s="14">
        <v>5000</v>
      </c>
      <c r="CP6" s="14">
        <f>'2018'!CS6</f>
        <v>59988</v>
      </c>
      <c r="CQ6" s="14">
        <f>CP6+F6+M6+T6+AA6+AH6+AO6+AX6+BE6+BL6+BS6+BZ6+CG6-613</f>
        <v>65375</v>
      </c>
      <c r="CR6" s="14"/>
      <c r="CS6" s="3">
        <f>MROUND((CQ6*$M$41)/$M$34,1)</f>
        <v>2759</v>
      </c>
      <c r="CU6" s="41">
        <f t="shared" si="36"/>
        <v>68134</v>
      </c>
      <c r="CV6" s="14">
        <v>156887</v>
      </c>
      <c r="CW6" s="14">
        <v>2613</v>
      </c>
      <c r="CX6" s="14">
        <v>157500</v>
      </c>
      <c r="CY6" s="14">
        <v>613</v>
      </c>
      <c r="CZ6" s="14">
        <v>6000</v>
      </c>
    </row>
    <row r="7" spans="1:104">
      <c r="A7" s="5">
        <v>5</v>
      </c>
      <c r="B7" s="5" t="s">
        <v>24</v>
      </c>
      <c r="C7" s="7">
        <f>'2018'!CL7</f>
        <v>49745</v>
      </c>
      <c r="D7" s="6">
        <f t="shared" si="0"/>
        <v>4251</v>
      </c>
      <c r="E7" s="6">
        <f t="shared" si="1"/>
        <v>249</v>
      </c>
      <c r="F7" s="6">
        <v>1000</v>
      </c>
      <c r="G7" s="6">
        <v>1000</v>
      </c>
      <c r="H7" s="6">
        <v>6500</v>
      </c>
      <c r="I7" s="6"/>
      <c r="J7" s="21">
        <f t="shared" si="2"/>
        <v>45494</v>
      </c>
      <c r="K7" s="6">
        <f t="shared" si="3"/>
        <v>4273</v>
      </c>
      <c r="L7" s="6">
        <f t="shared" si="35"/>
        <v>227</v>
      </c>
      <c r="M7" s="6">
        <v>1000</v>
      </c>
      <c r="N7" s="6">
        <v>1000</v>
      </c>
      <c r="O7" s="6">
        <v>6500</v>
      </c>
      <c r="P7" s="6"/>
      <c r="Q7" s="21">
        <f t="shared" si="4"/>
        <v>41221</v>
      </c>
      <c r="R7" s="6">
        <f t="shared" si="5"/>
        <v>4294</v>
      </c>
      <c r="S7" s="6">
        <f t="shared" si="6"/>
        <v>206</v>
      </c>
      <c r="T7" s="6">
        <v>1000</v>
      </c>
      <c r="U7" s="6">
        <v>1000</v>
      </c>
      <c r="V7" s="6">
        <v>6500</v>
      </c>
      <c r="W7" s="6"/>
      <c r="X7" s="21">
        <f t="shared" si="7"/>
        <v>36927</v>
      </c>
      <c r="Y7" s="6">
        <f t="shared" si="8"/>
        <v>4315</v>
      </c>
      <c r="Z7" s="6">
        <f t="shared" si="9"/>
        <v>185</v>
      </c>
      <c r="AA7" s="6">
        <v>1000</v>
      </c>
      <c r="AB7" s="6">
        <v>1000</v>
      </c>
      <c r="AC7" s="6">
        <v>6500</v>
      </c>
      <c r="AD7" s="6"/>
      <c r="AE7" s="21">
        <f t="shared" si="10"/>
        <v>32612</v>
      </c>
      <c r="AF7" s="6">
        <f t="shared" si="11"/>
        <v>3837</v>
      </c>
      <c r="AG7" s="6">
        <f t="shared" si="12"/>
        <v>163</v>
      </c>
      <c r="AH7" s="6">
        <v>1000</v>
      </c>
      <c r="AI7" s="6">
        <v>1000</v>
      </c>
      <c r="AJ7" s="6">
        <v>6000</v>
      </c>
      <c r="AK7" s="6"/>
      <c r="AL7" s="21">
        <f t="shared" si="13"/>
        <v>28775</v>
      </c>
      <c r="AM7" s="6">
        <f t="shared" si="14"/>
        <v>4856</v>
      </c>
      <c r="AN7" s="6">
        <f t="shared" si="15"/>
        <v>144</v>
      </c>
      <c r="AO7" s="6">
        <v>1000</v>
      </c>
      <c r="AP7" s="6">
        <v>0</v>
      </c>
      <c r="AQ7" s="6">
        <v>6000</v>
      </c>
      <c r="AR7" s="6">
        <v>0</v>
      </c>
      <c r="AS7" s="6"/>
      <c r="AU7" s="21">
        <f t="shared" si="16"/>
        <v>23919</v>
      </c>
      <c r="AV7" s="6">
        <f t="shared" si="17"/>
        <v>4880</v>
      </c>
      <c r="AW7" s="6">
        <f t="shared" si="18"/>
        <v>120</v>
      </c>
      <c r="AX7" s="6">
        <v>1000</v>
      </c>
      <c r="AY7" s="6">
        <v>0</v>
      </c>
      <c r="AZ7" s="6">
        <v>6000</v>
      </c>
      <c r="BA7" s="6">
        <v>0</v>
      </c>
      <c r="BB7" s="21">
        <f t="shared" si="19"/>
        <v>19039</v>
      </c>
      <c r="BC7" s="6">
        <f t="shared" si="20"/>
        <v>3905</v>
      </c>
      <c r="BD7" s="6">
        <f t="shared" si="21"/>
        <v>95</v>
      </c>
      <c r="BE7" s="6">
        <v>1000</v>
      </c>
      <c r="BF7" s="6">
        <v>1000</v>
      </c>
      <c r="BG7" s="6">
        <v>6000</v>
      </c>
      <c r="BH7" s="6"/>
      <c r="BI7" s="21">
        <f t="shared" si="22"/>
        <v>15134</v>
      </c>
      <c r="BJ7" s="6">
        <f t="shared" si="23"/>
        <v>3924</v>
      </c>
      <c r="BK7" s="6">
        <f t="shared" si="24"/>
        <v>76</v>
      </c>
      <c r="BL7" s="6">
        <v>1000</v>
      </c>
      <c r="BM7" s="6">
        <v>1000</v>
      </c>
      <c r="BN7" s="6">
        <v>6000</v>
      </c>
      <c r="BO7" s="6"/>
      <c r="BP7" s="21">
        <f t="shared" si="25"/>
        <v>11210</v>
      </c>
      <c r="BQ7" s="6">
        <f t="shared" si="26"/>
        <v>3944</v>
      </c>
      <c r="BR7" s="6">
        <f t="shared" si="27"/>
        <v>56</v>
      </c>
      <c r="BS7" s="6">
        <v>1000</v>
      </c>
      <c r="BT7" s="6">
        <v>1000</v>
      </c>
      <c r="BU7" s="6">
        <v>6000</v>
      </c>
      <c r="BV7" s="6"/>
      <c r="BW7" s="21">
        <f t="shared" si="28"/>
        <v>7266</v>
      </c>
      <c r="BX7" s="6">
        <f t="shared" si="29"/>
        <v>3964</v>
      </c>
      <c r="BY7" s="6">
        <f t="shared" si="30"/>
        <v>36</v>
      </c>
      <c r="BZ7" s="6">
        <v>1000</v>
      </c>
      <c r="CA7" s="6">
        <v>1000</v>
      </c>
      <c r="CB7" s="6">
        <v>6000</v>
      </c>
      <c r="CC7" s="6"/>
      <c r="CD7" s="21">
        <f t="shared" si="31"/>
        <v>3302</v>
      </c>
      <c r="CE7" s="6">
        <f t="shared" si="32"/>
        <v>3302</v>
      </c>
      <c r="CF7" s="6">
        <f t="shared" si="33"/>
        <v>17</v>
      </c>
      <c r="CG7" s="6">
        <v>1681</v>
      </c>
      <c r="CH7" s="6">
        <v>1000</v>
      </c>
      <c r="CI7" s="6">
        <v>6000</v>
      </c>
      <c r="CJ7" s="6"/>
      <c r="CK7" s="5" t="s">
        <v>24</v>
      </c>
      <c r="CL7" s="14">
        <f>CD7-CE7+CJ7</f>
        <v>0</v>
      </c>
      <c r="CM7" s="14">
        <v>49745</v>
      </c>
      <c r="CN7" s="14">
        <v>5000</v>
      </c>
      <c r="CO7" s="14">
        <v>5000</v>
      </c>
      <c r="CP7" s="14">
        <f>'2018'!CS7</f>
        <v>78500</v>
      </c>
      <c r="CQ7" s="14">
        <f>CP7+F7+M7+T7+AA7+AH7+AO7+AX7+BE7+BL7+BS7+BZ7+CG7</f>
        <v>91181</v>
      </c>
      <c r="CR7" s="14"/>
      <c r="CS7" s="3">
        <f t="shared" ref="CS7:CS25" si="37">MROUND((CQ7*$M$41)/$M$34,1)</f>
        <v>3849</v>
      </c>
      <c r="CU7" s="41">
        <f t="shared" si="36"/>
        <v>95030</v>
      </c>
      <c r="CV7" s="14">
        <v>49800</v>
      </c>
      <c r="CW7" s="14">
        <v>1576</v>
      </c>
      <c r="CX7" s="14">
        <v>0</v>
      </c>
      <c r="CY7" s="14">
        <v>0</v>
      </c>
      <c r="CZ7" s="14">
        <v>12624</v>
      </c>
    </row>
    <row r="8" spans="1:104">
      <c r="A8" s="5">
        <v>6</v>
      </c>
      <c r="B8" s="5" t="s">
        <v>25</v>
      </c>
      <c r="C8" s="7">
        <f>'2018'!CL8</f>
        <v>10990</v>
      </c>
      <c r="D8" s="6">
        <f t="shared" si="0"/>
        <v>0</v>
      </c>
      <c r="E8" s="6">
        <f t="shared" si="1"/>
        <v>55</v>
      </c>
      <c r="F8" s="6">
        <v>500</v>
      </c>
      <c r="G8" s="6">
        <v>1000</v>
      </c>
      <c r="H8" s="6">
        <v>1555</v>
      </c>
      <c r="I8" s="6"/>
      <c r="J8" s="21">
        <f t="shared" si="2"/>
        <v>10990</v>
      </c>
      <c r="K8" s="6">
        <f t="shared" si="3"/>
        <v>445</v>
      </c>
      <c r="L8" s="6">
        <f t="shared" si="35"/>
        <v>55</v>
      </c>
      <c r="M8" s="6">
        <v>500</v>
      </c>
      <c r="N8" s="6">
        <v>1000</v>
      </c>
      <c r="O8" s="6">
        <v>2000</v>
      </c>
      <c r="P8" s="6"/>
      <c r="Q8" s="21">
        <f t="shared" si="4"/>
        <v>10545</v>
      </c>
      <c r="R8" s="6">
        <f t="shared" si="5"/>
        <v>447</v>
      </c>
      <c r="S8" s="6">
        <f t="shared" si="6"/>
        <v>53</v>
      </c>
      <c r="T8" s="6">
        <v>500</v>
      </c>
      <c r="U8" s="6">
        <v>1000</v>
      </c>
      <c r="V8" s="6">
        <v>2000</v>
      </c>
      <c r="W8" s="6"/>
      <c r="X8" s="21">
        <f t="shared" si="7"/>
        <v>10098</v>
      </c>
      <c r="Y8" s="6">
        <f t="shared" si="8"/>
        <v>450</v>
      </c>
      <c r="Z8" s="6">
        <f t="shared" si="9"/>
        <v>50</v>
      </c>
      <c r="AA8" s="6">
        <v>500</v>
      </c>
      <c r="AB8" s="6">
        <v>1000</v>
      </c>
      <c r="AC8" s="6">
        <v>2000</v>
      </c>
      <c r="AD8" s="6"/>
      <c r="AE8" s="21">
        <f t="shared" si="10"/>
        <v>9648</v>
      </c>
      <c r="AF8" s="6">
        <f t="shared" si="11"/>
        <v>452</v>
      </c>
      <c r="AG8" s="6">
        <f t="shared" si="12"/>
        <v>48</v>
      </c>
      <c r="AH8" s="6">
        <v>500</v>
      </c>
      <c r="AI8" s="6">
        <v>1000</v>
      </c>
      <c r="AJ8" s="6">
        <v>2000</v>
      </c>
      <c r="AK8" s="6"/>
      <c r="AL8" s="21">
        <f t="shared" si="13"/>
        <v>9196</v>
      </c>
      <c r="AM8" s="6">
        <f t="shared" si="14"/>
        <v>1454</v>
      </c>
      <c r="AN8" s="6">
        <f t="shared" si="15"/>
        <v>46</v>
      </c>
      <c r="AO8" s="6">
        <v>500</v>
      </c>
      <c r="AP8" s="6">
        <v>0</v>
      </c>
      <c r="AQ8" s="6">
        <v>2000</v>
      </c>
      <c r="AR8" s="6">
        <v>0</v>
      </c>
      <c r="AS8" s="6"/>
      <c r="AU8" s="21">
        <f t="shared" si="16"/>
        <v>7742</v>
      </c>
      <c r="AV8" s="6">
        <f t="shared" si="17"/>
        <v>1461</v>
      </c>
      <c r="AW8" s="6">
        <f t="shared" si="18"/>
        <v>39</v>
      </c>
      <c r="AX8" s="6">
        <v>500</v>
      </c>
      <c r="AY8" s="6">
        <v>0</v>
      </c>
      <c r="AZ8" s="6">
        <v>2000</v>
      </c>
      <c r="BA8" s="6">
        <v>0</v>
      </c>
      <c r="BB8" s="21">
        <f t="shared" si="19"/>
        <v>6281</v>
      </c>
      <c r="BC8" s="6">
        <f t="shared" si="20"/>
        <v>469</v>
      </c>
      <c r="BD8" s="6">
        <f t="shared" si="21"/>
        <v>31</v>
      </c>
      <c r="BE8" s="6">
        <v>500</v>
      </c>
      <c r="BF8" s="6">
        <v>1000</v>
      </c>
      <c r="BG8" s="6">
        <v>2000</v>
      </c>
      <c r="BH8" s="6"/>
      <c r="BI8" s="21">
        <f t="shared" si="22"/>
        <v>5812</v>
      </c>
      <c r="BJ8" s="6">
        <f t="shared" si="23"/>
        <v>471</v>
      </c>
      <c r="BK8" s="6">
        <f t="shared" si="24"/>
        <v>29</v>
      </c>
      <c r="BL8" s="6">
        <v>500</v>
      </c>
      <c r="BM8" s="6">
        <v>1000</v>
      </c>
      <c r="BN8" s="6">
        <v>2000</v>
      </c>
      <c r="BO8" s="6">
        <v>67000</v>
      </c>
      <c r="BP8" s="21">
        <f t="shared" si="25"/>
        <v>72341</v>
      </c>
      <c r="BQ8" s="6">
        <f t="shared" si="26"/>
        <v>15138</v>
      </c>
      <c r="BR8" s="6">
        <f t="shared" si="27"/>
        <v>362</v>
      </c>
      <c r="BS8" s="6">
        <v>500</v>
      </c>
      <c r="BT8" s="6">
        <v>1000</v>
      </c>
      <c r="BU8" s="6">
        <v>17000</v>
      </c>
      <c r="BV8" s="6"/>
      <c r="BW8" s="21">
        <f t="shared" si="28"/>
        <v>57203</v>
      </c>
      <c r="BX8" s="6">
        <f t="shared" si="29"/>
        <v>214</v>
      </c>
      <c r="BY8" s="6">
        <f t="shared" si="30"/>
        <v>286</v>
      </c>
      <c r="BZ8" s="6">
        <v>500</v>
      </c>
      <c r="CA8" s="6">
        <v>1000</v>
      </c>
      <c r="CB8" s="6">
        <v>2000</v>
      </c>
      <c r="CC8" s="6"/>
      <c r="CD8" s="21">
        <f t="shared" si="31"/>
        <v>56989</v>
      </c>
      <c r="CE8" s="6">
        <f t="shared" si="32"/>
        <v>215</v>
      </c>
      <c r="CF8" s="6">
        <f t="shared" si="33"/>
        <v>285</v>
      </c>
      <c r="CG8" s="6">
        <v>500</v>
      </c>
      <c r="CH8" s="6">
        <v>1000</v>
      </c>
      <c r="CI8" s="6">
        <v>2000</v>
      </c>
      <c r="CJ8" s="6"/>
      <c r="CK8" s="5" t="s">
        <v>25</v>
      </c>
      <c r="CL8" s="14">
        <f t="shared" si="34"/>
        <v>56774</v>
      </c>
      <c r="CM8" s="14">
        <v>10990</v>
      </c>
      <c r="CN8" s="14">
        <v>5000</v>
      </c>
      <c r="CO8" s="14">
        <v>5000</v>
      </c>
      <c r="CP8" s="14">
        <f>'2018'!CS8</f>
        <v>60369</v>
      </c>
      <c r="CQ8" s="14">
        <f>CP8+F8+M8+T8+AA8+AH8+AO8+AX8+BE8+BL8+BS8+BZ8+CG8</f>
        <v>66369</v>
      </c>
      <c r="CR8" s="14"/>
      <c r="CS8" s="3">
        <f t="shared" si="37"/>
        <v>2801</v>
      </c>
      <c r="CU8" s="41">
        <f t="shared" si="36"/>
        <v>69170</v>
      </c>
      <c r="CV8" s="14">
        <v>21216</v>
      </c>
      <c r="CW8" s="14">
        <v>1339</v>
      </c>
      <c r="CX8" s="14">
        <v>67000</v>
      </c>
      <c r="CY8" s="14">
        <v>56774</v>
      </c>
      <c r="CZ8" s="14">
        <v>6000</v>
      </c>
    </row>
    <row r="9" spans="1:104">
      <c r="A9" s="5">
        <v>7</v>
      </c>
      <c r="B9" s="5" t="s">
        <v>26</v>
      </c>
      <c r="C9" s="7">
        <f>'2018'!CL9</f>
        <v>111343</v>
      </c>
      <c r="D9" s="6">
        <f t="shared" si="0"/>
        <v>0</v>
      </c>
      <c r="E9" s="6">
        <f t="shared" si="1"/>
        <v>557</v>
      </c>
      <c r="F9" s="6">
        <v>500</v>
      </c>
      <c r="G9" s="6">
        <v>0</v>
      </c>
      <c r="H9" s="6">
        <v>1057</v>
      </c>
      <c r="I9" s="6">
        <v>1057</v>
      </c>
      <c r="J9" s="21">
        <f t="shared" si="2"/>
        <v>112400</v>
      </c>
      <c r="K9" s="6">
        <f t="shared" si="3"/>
        <v>938</v>
      </c>
      <c r="L9" s="6">
        <f t="shared" si="35"/>
        <v>562</v>
      </c>
      <c r="M9" s="6">
        <v>500</v>
      </c>
      <c r="N9" s="6">
        <v>0</v>
      </c>
      <c r="O9" s="6">
        <v>2000</v>
      </c>
      <c r="P9" s="6"/>
      <c r="Q9" s="21">
        <f t="shared" si="4"/>
        <v>111462</v>
      </c>
      <c r="R9" s="6">
        <f t="shared" si="5"/>
        <v>143</v>
      </c>
      <c r="S9" s="6">
        <f t="shared" si="6"/>
        <v>557</v>
      </c>
      <c r="T9" s="6">
        <v>500</v>
      </c>
      <c r="U9" s="6">
        <v>0</v>
      </c>
      <c r="V9" s="6">
        <v>1200</v>
      </c>
      <c r="W9" s="6"/>
      <c r="X9" s="21">
        <f t="shared" si="7"/>
        <v>111319</v>
      </c>
      <c r="Y9" s="6">
        <f t="shared" si="8"/>
        <v>0</v>
      </c>
      <c r="Z9" s="6">
        <f t="shared" si="9"/>
        <v>557</v>
      </c>
      <c r="AA9" s="6">
        <v>500</v>
      </c>
      <c r="AB9" s="6">
        <v>0</v>
      </c>
      <c r="AC9" s="6">
        <v>1057</v>
      </c>
      <c r="AD9" s="6">
        <v>1057</v>
      </c>
      <c r="AE9" s="21">
        <f t="shared" si="10"/>
        <v>112376</v>
      </c>
      <c r="AF9" s="6">
        <f t="shared" si="11"/>
        <v>4438</v>
      </c>
      <c r="AG9" s="6">
        <f t="shared" si="12"/>
        <v>562</v>
      </c>
      <c r="AH9" s="6">
        <v>500</v>
      </c>
      <c r="AI9" s="6">
        <v>0</v>
      </c>
      <c r="AJ9" s="6">
        <v>5500</v>
      </c>
      <c r="AK9" s="6"/>
      <c r="AL9" s="21">
        <f t="shared" si="13"/>
        <v>107938</v>
      </c>
      <c r="AM9" s="6">
        <f t="shared" si="14"/>
        <v>1960</v>
      </c>
      <c r="AN9" s="6">
        <f t="shared" si="15"/>
        <v>540</v>
      </c>
      <c r="AO9" s="6">
        <v>500</v>
      </c>
      <c r="AP9" s="6">
        <v>0</v>
      </c>
      <c r="AQ9" s="6">
        <v>3000</v>
      </c>
      <c r="AR9" s="6">
        <v>10000</v>
      </c>
      <c r="AS9" s="6"/>
      <c r="AU9" s="21">
        <f t="shared" si="16"/>
        <v>105978</v>
      </c>
      <c r="AV9" s="6">
        <f t="shared" si="17"/>
        <v>8970</v>
      </c>
      <c r="AW9" s="6">
        <f t="shared" si="18"/>
        <v>530</v>
      </c>
      <c r="AX9" s="6">
        <v>500</v>
      </c>
      <c r="AY9" s="6">
        <v>0</v>
      </c>
      <c r="AZ9" s="21">
        <v>10000</v>
      </c>
      <c r="BA9" s="6">
        <v>0</v>
      </c>
      <c r="BB9" s="21">
        <f t="shared" si="19"/>
        <v>97008</v>
      </c>
      <c r="BC9" s="6">
        <f t="shared" si="20"/>
        <v>-485</v>
      </c>
      <c r="BD9" s="6">
        <f t="shared" si="21"/>
        <v>485</v>
      </c>
      <c r="BE9" s="6">
        <v>500</v>
      </c>
      <c r="BF9" s="6">
        <v>1000</v>
      </c>
      <c r="BG9" s="6">
        <v>1500</v>
      </c>
      <c r="BH9" s="6">
        <v>5000</v>
      </c>
      <c r="BI9" s="21">
        <f t="shared" si="22"/>
        <v>102493</v>
      </c>
      <c r="BJ9" s="6">
        <f t="shared" si="23"/>
        <v>-512</v>
      </c>
      <c r="BK9" s="6">
        <f t="shared" si="24"/>
        <v>512</v>
      </c>
      <c r="BL9" s="6">
        <v>500</v>
      </c>
      <c r="BM9" s="6">
        <v>1000</v>
      </c>
      <c r="BN9" s="6">
        <v>1500</v>
      </c>
      <c r="BO9" s="6">
        <v>0</v>
      </c>
      <c r="BP9" s="21">
        <f t="shared" si="25"/>
        <v>103005</v>
      </c>
      <c r="BQ9" s="6">
        <f t="shared" si="26"/>
        <v>-15</v>
      </c>
      <c r="BR9" s="6">
        <f t="shared" si="27"/>
        <v>515</v>
      </c>
      <c r="BS9" s="6">
        <v>500</v>
      </c>
      <c r="BT9" s="6">
        <v>1000</v>
      </c>
      <c r="BU9" s="6">
        <v>2000</v>
      </c>
      <c r="BV9" s="6">
        <v>15000</v>
      </c>
      <c r="BW9" s="21">
        <f t="shared" si="28"/>
        <v>118020</v>
      </c>
      <c r="BX9" s="6">
        <f t="shared" si="29"/>
        <v>-90</v>
      </c>
      <c r="BY9" s="6">
        <f t="shared" si="30"/>
        <v>590</v>
      </c>
      <c r="BZ9" s="6">
        <v>500</v>
      </c>
      <c r="CA9" s="6">
        <v>1000</v>
      </c>
      <c r="CB9" s="21">
        <v>2000</v>
      </c>
      <c r="CC9" s="6"/>
      <c r="CD9" s="21">
        <f t="shared" si="31"/>
        <v>118110</v>
      </c>
      <c r="CE9" s="6">
        <f t="shared" si="32"/>
        <v>0</v>
      </c>
      <c r="CF9" s="6">
        <f t="shared" si="33"/>
        <v>591</v>
      </c>
      <c r="CG9" s="6">
        <v>500</v>
      </c>
      <c r="CH9" s="6">
        <v>1000</v>
      </c>
      <c r="CI9" s="6">
        <v>2091</v>
      </c>
      <c r="CJ9" s="6">
        <v>2373</v>
      </c>
      <c r="CK9" s="5" t="s">
        <v>26</v>
      </c>
      <c r="CL9" s="14">
        <f t="shared" si="34"/>
        <v>120483</v>
      </c>
      <c r="CM9" s="14">
        <v>111359</v>
      </c>
      <c r="CN9" s="14">
        <v>5000</v>
      </c>
      <c r="CO9" s="14"/>
      <c r="CP9" s="14">
        <f>'2018'!CS9</f>
        <v>26203</v>
      </c>
      <c r="CQ9" s="14">
        <f>CP9+F9+M9+T9+AA9+AH9+AO9+AX9+BE9+BL9+BS9+BZ9+CG9</f>
        <v>32203</v>
      </c>
      <c r="CR9" s="14"/>
      <c r="CS9" s="3">
        <f t="shared" si="37"/>
        <v>1359</v>
      </c>
      <c r="CU9" s="41">
        <f t="shared" si="36"/>
        <v>33562</v>
      </c>
      <c r="CV9" s="14">
        <v>16276</v>
      </c>
      <c r="CW9" s="14">
        <v>6609</v>
      </c>
      <c r="CX9" s="14">
        <v>25185</v>
      </c>
      <c r="CY9" s="14">
        <v>120252</v>
      </c>
      <c r="CZ9" s="14">
        <v>6000</v>
      </c>
    </row>
    <row r="10" spans="1:104">
      <c r="A10" s="5">
        <v>8</v>
      </c>
      <c r="B10" s="5" t="s">
        <v>27</v>
      </c>
      <c r="C10" s="7">
        <f>'2018'!CL10</f>
        <v>0</v>
      </c>
      <c r="D10" s="6">
        <f t="shared" si="0"/>
        <v>0</v>
      </c>
      <c r="E10" s="6">
        <f t="shared" si="1"/>
        <v>0</v>
      </c>
      <c r="F10" s="6">
        <v>500</v>
      </c>
      <c r="G10" s="6">
        <v>0</v>
      </c>
      <c r="H10" s="6">
        <v>500</v>
      </c>
      <c r="I10" s="6"/>
      <c r="J10" s="21">
        <f t="shared" si="2"/>
        <v>0</v>
      </c>
      <c r="K10" s="6">
        <f t="shared" si="3"/>
        <v>0</v>
      </c>
      <c r="L10" s="6">
        <f t="shared" si="35"/>
        <v>0</v>
      </c>
      <c r="M10" s="6">
        <v>500</v>
      </c>
      <c r="N10" s="6">
        <v>0</v>
      </c>
      <c r="O10" s="6">
        <v>500</v>
      </c>
      <c r="P10" s="6"/>
      <c r="Q10" s="21">
        <f t="shared" si="4"/>
        <v>0</v>
      </c>
      <c r="R10" s="6">
        <f t="shared" si="5"/>
        <v>0</v>
      </c>
      <c r="S10" s="6">
        <f t="shared" si="6"/>
        <v>0</v>
      </c>
      <c r="T10" s="6">
        <v>500</v>
      </c>
      <c r="U10" s="6">
        <v>0</v>
      </c>
      <c r="V10" s="6">
        <v>500</v>
      </c>
      <c r="W10" s="6"/>
      <c r="X10" s="21">
        <f t="shared" si="7"/>
        <v>0</v>
      </c>
      <c r="Y10" s="6">
        <f t="shared" si="8"/>
        <v>0</v>
      </c>
      <c r="Z10" s="6">
        <f t="shared" si="9"/>
        <v>0</v>
      </c>
      <c r="AA10" s="6">
        <v>500</v>
      </c>
      <c r="AB10" s="6">
        <v>0</v>
      </c>
      <c r="AC10" s="6">
        <v>500</v>
      </c>
      <c r="AD10" s="6"/>
      <c r="AE10" s="21">
        <f t="shared" si="10"/>
        <v>0</v>
      </c>
      <c r="AF10" s="6">
        <f t="shared" si="11"/>
        <v>0</v>
      </c>
      <c r="AG10" s="6">
        <f t="shared" si="12"/>
        <v>0</v>
      </c>
      <c r="AH10" s="6">
        <v>500</v>
      </c>
      <c r="AI10" s="6">
        <v>0</v>
      </c>
      <c r="AJ10" s="6">
        <v>500</v>
      </c>
      <c r="AK10" s="6"/>
      <c r="AL10" s="21">
        <f t="shared" si="13"/>
        <v>0</v>
      </c>
      <c r="AM10" s="6">
        <f t="shared" si="14"/>
        <v>0</v>
      </c>
      <c r="AN10" s="6">
        <f t="shared" si="15"/>
        <v>0</v>
      </c>
      <c r="AO10" s="6">
        <v>500</v>
      </c>
      <c r="AP10" s="6">
        <v>0</v>
      </c>
      <c r="AQ10" s="6">
        <v>500</v>
      </c>
      <c r="AR10" s="6">
        <v>0</v>
      </c>
      <c r="AS10" s="6"/>
      <c r="AU10" s="21">
        <f t="shared" si="16"/>
        <v>0</v>
      </c>
      <c r="AV10" s="6">
        <f t="shared" si="17"/>
        <v>0</v>
      </c>
      <c r="AW10" s="6">
        <f t="shared" si="18"/>
        <v>0</v>
      </c>
      <c r="AX10" s="6">
        <v>500</v>
      </c>
      <c r="AY10" s="6">
        <v>0</v>
      </c>
      <c r="AZ10" s="28">
        <v>500</v>
      </c>
      <c r="BA10" s="6">
        <v>0</v>
      </c>
      <c r="BB10" s="21">
        <f t="shared" si="19"/>
        <v>0</v>
      </c>
      <c r="BC10" s="6">
        <f t="shared" si="20"/>
        <v>0</v>
      </c>
      <c r="BD10" s="6">
        <f t="shared" si="21"/>
        <v>0</v>
      </c>
      <c r="BE10" s="6">
        <v>500</v>
      </c>
      <c r="BF10" s="6">
        <v>0</v>
      </c>
      <c r="BG10" s="6">
        <v>500</v>
      </c>
      <c r="BH10" s="6"/>
      <c r="BI10" s="21">
        <f t="shared" si="22"/>
        <v>0</v>
      </c>
      <c r="BJ10" s="6">
        <f t="shared" si="23"/>
        <v>0</v>
      </c>
      <c r="BK10" s="6">
        <f t="shared" si="24"/>
        <v>0</v>
      </c>
      <c r="BL10" s="6">
        <v>500</v>
      </c>
      <c r="BM10" s="6">
        <v>0</v>
      </c>
      <c r="BN10" s="6">
        <v>500</v>
      </c>
      <c r="BO10" s="6"/>
      <c r="BP10" s="21">
        <f t="shared" si="25"/>
        <v>0</v>
      </c>
      <c r="BQ10" s="6">
        <f t="shared" si="26"/>
        <v>0</v>
      </c>
      <c r="BR10" s="6">
        <f t="shared" si="27"/>
        <v>0</v>
      </c>
      <c r="BS10" s="6">
        <v>500</v>
      </c>
      <c r="BT10" s="6">
        <v>0</v>
      </c>
      <c r="BU10" s="6">
        <v>500</v>
      </c>
      <c r="BV10" s="6"/>
      <c r="BW10" s="21">
        <f t="shared" si="28"/>
        <v>0</v>
      </c>
      <c r="BX10" s="6">
        <f t="shared" si="29"/>
        <v>0</v>
      </c>
      <c r="BY10" s="6">
        <f t="shared" si="30"/>
        <v>0</v>
      </c>
      <c r="BZ10" s="6">
        <v>500</v>
      </c>
      <c r="CA10" s="6">
        <v>0</v>
      </c>
      <c r="CB10" s="6">
        <v>500</v>
      </c>
      <c r="CC10" s="6"/>
      <c r="CD10" s="21">
        <f t="shared" si="31"/>
        <v>0</v>
      </c>
      <c r="CE10" s="6">
        <f t="shared" si="32"/>
        <v>0</v>
      </c>
      <c r="CF10" s="6">
        <f t="shared" si="33"/>
        <v>0</v>
      </c>
      <c r="CG10" s="6">
        <v>500</v>
      </c>
      <c r="CH10" s="6">
        <v>0</v>
      </c>
      <c r="CI10" s="6">
        <v>500</v>
      </c>
      <c r="CJ10" s="6"/>
      <c r="CK10" s="5" t="s">
        <v>27</v>
      </c>
      <c r="CL10" s="14">
        <f t="shared" si="34"/>
        <v>0</v>
      </c>
      <c r="CM10" s="14">
        <v>0</v>
      </c>
      <c r="CN10" s="14">
        <v>0</v>
      </c>
      <c r="CO10" s="14"/>
      <c r="CP10" s="14">
        <f>'2018'!CS10</f>
        <v>75109</v>
      </c>
      <c r="CQ10" s="14">
        <f t="shared" ref="CQ10:CQ25" si="38">CP10+F10+M10+T10+AA10+AH10+AO10+AX10+BE10+BL10+BS10+BZ10+CG10</f>
        <v>81109</v>
      </c>
      <c r="CR10" s="14"/>
      <c r="CS10" s="3">
        <f t="shared" si="37"/>
        <v>3423</v>
      </c>
      <c r="CU10" s="41">
        <f t="shared" si="36"/>
        <v>84532</v>
      </c>
      <c r="CV10" s="14">
        <v>0</v>
      </c>
      <c r="CW10" s="14">
        <v>0</v>
      </c>
      <c r="CX10" s="14">
        <v>0</v>
      </c>
      <c r="CY10" s="14">
        <v>0</v>
      </c>
      <c r="CZ10" s="14">
        <v>6000</v>
      </c>
    </row>
    <row r="11" spans="1:104">
      <c r="A11" s="5">
        <v>9</v>
      </c>
      <c r="B11" s="5" t="s">
        <v>28</v>
      </c>
      <c r="C11" s="7">
        <f>'2018'!CL11</f>
        <v>140320</v>
      </c>
      <c r="D11" s="6">
        <f t="shared" si="0"/>
        <v>4798</v>
      </c>
      <c r="E11" s="6">
        <f t="shared" si="1"/>
        <v>702</v>
      </c>
      <c r="F11" s="6">
        <v>500</v>
      </c>
      <c r="G11" s="6">
        <v>0</v>
      </c>
      <c r="H11" s="6">
        <v>6000</v>
      </c>
      <c r="I11" s="6"/>
      <c r="J11" s="21">
        <f t="shared" si="2"/>
        <v>135522</v>
      </c>
      <c r="K11" s="6">
        <f t="shared" si="3"/>
        <v>4822</v>
      </c>
      <c r="L11" s="6">
        <f t="shared" si="35"/>
        <v>678</v>
      </c>
      <c r="M11" s="6">
        <v>500</v>
      </c>
      <c r="N11" s="6">
        <v>0</v>
      </c>
      <c r="O11" s="6">
        <v>6000</v>
      </c>
      <c r="P11" s="6">
        <v>12000</v>
      </c>
      <c r="Q11" s="21">
        <f t="shared" si="4"/>
        <v>142700</v>
      </c>
      <c r="R11" s="6">
        <f t="shared" si="5"/>
        <v>4786</v>
      </c>
      <c r="S11" s="6">
        <f t="shared" si="6"/>
        <v>714</v>
      </c>
      <c r="T11" s="6">
        <v>500</v>
      </c>
      <c r="U11" s="6">
        <v>0</v>
      </c>
      <c r="V11" s="6">
        <v>6000</v>
      </c>
      <c r="W11" s="6">
        <v>80000</v>
      </c>
      <c r="X11" s="21">
        <f t="shared" si="7"/>
        <v>217914</v>
      </c>
      <c r="Y11" s="6">
        <f t="shared" si="8"/>
        <v>6410</v>
      </c>
      <c r="Z11" s="6">
        <f t="shared" si="9"/>
        <v>1090</v>
      </c>
      <c r="AA11" s="6">
        <v>500</v>
      </c>
      <c r="AB11" s="6">
        <v>0</v>
      </c>
      <c r="AC11" s="6">
        <v>8000</v>
      </c>
      <c r="AD11" s="6"/>
      <c r="AE11" s="21">
        <f t="shared" si="10"/>
        <v>211504</v>
      </c>
      <c r="AF11" s="6">
        <f t="shared" si="11"/>
        <v>4442</v>
      </c>
      <c r="AG11" s="6">
        <f t="shared" si="12"/>
        <v>1058</v>
      </c>
      <c r="AH11" s="6">
        <v>500</v>
      </c>
      <c r="AI11" s="6">
        <v>0</v>
      </c>
      <c r="AJ11" s="6">
        <v>6000</v>
      </c>
      <c r="AK11" s="6">
        <v>50000</v>
      </c>
      <c r="AL11" s="21">
        <f t="shared" si="13"/>
        <v>257062</v>
      </c>
      <c r="AM11" s="6">
        <f t="shared" si="14"/>
        <v>6215</v>
      </c>
      <c r="AN11" s="6">
        <f t="shared" si="15"/>
        <v>1285</v>
      </c>
      <c r="AO11" s="6">
        <v>500</v>
      </c>
      <c r="AP11" s="6">
        <v>0</v>
      </c>
      <c r="AQ11" s="6">
        <v>8000</v>
      </c>
      <c r="AR11" s="6">
        <v>0</v>
      </c>
      <c r="AS11" s="6"/>
      <c r="AU11" s="21">
        <f t="shared" si="16"/>
        <v>250847</v>
      </c>
      <c r="AV11" s="6">
        <f t="shared" si="17"/>
        <v>6246</v>
      </c>
      <c r="AW11" s="6">
        <f t="shared" si="18"/>
        <v>1254</v>
      </c>
      <c r="AX11" s="6">
        <v>500</v>
      </c>
      <c r="AY11" s="6">
        <v>0</v>
      </c>
      <c r="AZ11" s="6">
        <v>8000</v>
      </c>
      <c r="BA11" s="6">
        <v>0</v>
      </c>
      <c r="BB11" s="21">
        <f t="shared" si="19"/>
        <v>244601</v>
      </c>
      <c r="BC11" s="6">
        <f t="shared" si="20"/>
        <v>2277</v>
      </c>
      <c r="BD11" s="6">
        <f t="shared" si="21"/>
        <v>1223</v>
      </c>
      <c r="BE11" s="6">
        <v>500</v>
      </c>
      <c r="BF11" s="6">
        <v>0</v>
      </c>
      <c r="BG11" s="6">
        <v>4000</v>
      </c>
      <c r="BH11" s="6"/>
      <c r="BI11" s="21">
        <f t="shared" si="22"/>
        <v>242324</v>
      </c>
      <c r="BJ11" s="6">
        <f t="shared" si="23"/>
        <v>3288</v>
      </c>
      <c r="BK11" s="6">
        <f t="shared" si="24"/>
        <v>1212</v>
      </c>
      <c r="BL11" s="6">
        <v>500</v>
      </c>
      <c r="BM11" s="6">
        <v>0</v>
      </c>
      <c r="BN11" s="6">
        <v>5000</v>
      </c>
      <c r="BO11" s="6"/>
      <c r="BP11" s="21">
        <f t="shared" si="25"/>
        <v>239036</v>
      </c>
      <c r="BQ11" s="6">
        <f t="shared" si="26"/>
        <v>3305</v>
      </c>
      <c r="BR11" s="6">
        <f t="shared" si="27"/>
        <v>1195</v>
      </c>
      <c r="BS11" s="6">
        <v>500</v>
      </c>
      <c r="BT11" s="6">
        <v>0</v>
      </c>
      <c r="BU11" s="6">
        <v>5000</v>
      </c>
      <c r="BV11" s="6"/>
      <c r="BW11" s="21">
        <f t="shared" si="28"/>
        <v>235731</v>
      </c>
      <c r="BX11" s="6">
        <f t="shared" si="29"/>
        <v>0</v>
      </c>
      <c r="BY11" s="6">
        <f t="shared" si="30"/>
        <v>1179</v>
      </c>
      <c r="BZ11" s="6">
        <v>500</v>
      </c>
      <c r="CA11" s="6">
        <v>0</v>
      </c>
      <c r="CB11" s="6">
        <v>1679</v>
      </c>
      <c r="CC11" s="6">
        <v>1679</v>
      </c>
      <c r="CD11" s="21">
        <f t="shared" si="31"/>
        <v>237410</v>
      </c>
      <c r="CE11" s="6">
        <f t="shared" si="32"/>
        <v>0</v>
      </c>
      <c r="CF11" s="6">
        <f t="shared" si="33"/>
        <v>1187</v>
      </c>
      <c r="CG11" s="6">
        <v>500</v>
      </c>
      <c r="CH11" s="6">
        <v>0</v>
      </c>
      <c r="CI11" s="6">
        <v>1687</v>
      </c>
      <c r="CJ11" s="6">
        <v>2004</v>
      </c>
      <c r="CK11" s="5" t="s">
        <v>28</v>
      </c>
      <c r="CL11" s="14">
        <f t="shared" si="34"/>
        <v>239414</v>
      </c>
      <c r="CM11" s="14">
        <v>140266</v>
      </c>
      <c r="CN11" s="14">
        <v>0</v>
      </c>
      <c r="CO11" s="14"/>
      <c r="CP11" s="14">
        <f>'2018'!CS11</f>
        <v>75240</v>
      </c>
      <c r="CQ11" s="14">
        <f t="shared" si="38"/>
        <v>81240</v>
      </c>
      <c r="CR11" s="14"/>
      <c r="CS11" s="3">
        <f t="shared" si="37"/>
        <v>3429</v>
      </c>
      <c r="CU11" s="41">
        <f t="shared" si="36"/>
        <v>84669</v>
      </c>
      <c r="CV11" s="14">
        <v>46589</v>
      </c>
      <c r="CW11" s="14">
        <v>12777</v>
      </c>
      <c r="CX11" s="14">
        <v>145366</v>
      </c>
      <c r="CY11" s="14">
        <v>239097</v>
      </c>
      <c r="CZ11" s="14">
        <v>6000</v>
      </c>
    </row>
    <row r="12" spans="1:104">
      <c r="A12" s="5">
        <v>10</v>
      </c>
      <c r="B12" s="5" t="s">
        <v>29</v>
      </c>
      <c r="C12" s="7">
        <f>'2018'!CL12</f>
        <v>150362</v>
      </c>
      <c r="D12" s="6">
        <f t="shared" si="0"/>
        <v>8248</v>
      </c>
      <c r="E12" s="6">
        <f t="shared" si="1"/>
        <v>752</v>
      </c>
      <c r="F12" s="6">
        <v>1000</v>
      </c>
      <c r="G12" s="6">
        <v>0</v>
      </c>
      <c r="H12" s="6">
        <v>10000</v>
      </c>
      <c r="I12" s="6"/>
      <c r="J12" s="21">
        <f t="shared" si="2"/>
        <v>142114</v>
      </c>
      <c r="K12" s="6">
        <f t="shared" si="3"/>
        <v>7289</v>
      </c>
      <c r="L12" s="6">
        <f t="shared" si="35"/>
        <v>711</v>
      </c>
      <c r="M12" s="6">
        <v>1000</v>
      </c>
      <c r="N12" s="6">
        <v>0</v>
      </c>
      <c r="O12" s="6">
        <v>9000</v>
      </c>
      <c r="P12" s="6"/>
      <c r="Q12" s="21">
        <f t="shared" si="4"/>
        <v>134825</v>
      </c>
      <c r="R12" s="6">
        <f t="shared" si="5"/>
        <v>8326</v>
      </c>
      <c r="S12" s="6">
        <f t="shared" si="6"/>
        <v>674</v>
      </c>
      <c r="T12" s="6">
        <v>1000</v>
      </c>
      <c r="U12" s="6">
        <v>0</v>
      </c>
      <c r="V12" s="6">
        <v>10000</v>
      </c>
      <c r="W12" s="6"/>
      <c r="X12" s="21">
        <f t="shared" si="7"/>
        <v>126499</v>
      </c>
      <c r="Y12" s="6">
        <f t="shared" si="8"/>
        <v>8368</v>
      </c>
      <c r="Z12" s="6">
        <f t="shared" si="9"/>
        <v>632</v>
      </c>
      <c r="AA12" s="6">
        <v>1000</v>
      </c>
      <c r="AB12" s="6">
        <v>0</v>
      </c>
      <c r="AC12" s="6">
        <v>10000</v>
      </c>
      <c r="AD12" s="6"/>
      <c r="AE12" s="21">
        <f t="shared" si="10"/>
        <v>118131</v>
      </c>
      <c r="AF12" s="6">
        <f t="shared" si="11"/>
        <v>7409</v>
      </c>
      <c r="AG12" s="6">
        <f t="shared" si="12"/>
        <v>591</v>
      </c>
      <c r="AH12" s="6">
        <v>1000</v>
      </c>
      <c r="AI12" s="6">
        <v>0</v>
      </c>
      <c r="AJ12" s="6">
        <v>9000</v>
      </c>
      <c r="AK12" s="6"/>
      <c r="AL12" s="21">
        <f t="shared" si="13"/>
        <v>110722</v>
      </c>
      <c r="AM12" s="6">
        <f t="shared" si="14"/>
        <v>1</v>
      </c>
      <c r="AN12" s="6">
        <f t="shared" si="15"/>
        <v>554</v>
      </c>
      <c r="AO12" s="6">
        <v>1000</v>
      </c>
      <c r="AP12" s="6">
        <v>0</v>
      </c>
      <c r="AQ12" s="6">
        <v>1555</v>
      </c>
      <c r="AR12" s="6">
        <v>0</v>
      </c>
      <c r="AS12" s="6">
        <v>25000</v>
      </c>
      <c r="AU12" s="21">
        <f t="shared" si="16"/>
        <v>135721</v>
      </c>
      <c r="AV12" s="6">
        <f t="shared" si="17"/>
        <v>0</v>
      </c>
      <c r="AW12" s="6">
        <f t="shared" si="18"/>
        <v>679</v>
      </c>
      <c r="AX12" s="6">
        <v>1000</v>
      </c>
      <c r="AY12" s="6">
        <v>0</v>
      </c>
      <c r="AZ12" s="6">
        <v>1679</v>
      </c>
      <c r="BA12" s="6">
        <v>25000</v>
      </c>
      <c r="BB12" s="21">
        <f t="shared" si="19"/>
        <v>160721</v>
      </c>
      <c r="BC12" s="6">
        <f t="shared" si="20"/>
        <v>0</v>
      </c>
      <c r="BD12" s="6">
        <f t="shared" si="21"/>
        <v>804</v>
      </c>
      <c r="BE12" s="6">
        <v>1000</v>
      </c>
      <c r="BF12" s="6">
        <v>0</v>
      </c>
      <c r="BG12" s="6">
        <v>1804</v>
      </c>
      <c r="BH12" s="6">
        <v>36804</v>
      </c>
      <c r="BI12" s="21">
        <f t="shared" si="22"/>
        <v>197525</v>
      </c>
      <c r="BJ12" s="6">
        <f t="shared" si="23"/>
        <v>8012</v>
      </c>
      <c r="BK12" s="6">
        <f t="shared" si="24"/>
        <v>988</v>
      </c>
      <c r="BL12" s="6">
        <v>1000</v>
      </c>
      <c r="BM12" s="6">
        <v>0</v>
      </c>
      <c r="BN12" s="6">
        <v>10000</v>
      </c>
      <c r="BO12" s="6"/>
      <c r="BP12" s="21">
        <f t="shared" si="25"/>
        <v>189513</v>
      </c>
      <c r="BQ12" s="6">
        <f t="shared" si="26"/>
        <v>4052</v>
      </c>
      <c r="BR12" s="6">
        <f t="shared" si="27"/>
        <v>948</v>
      </c>
      <c r="BS12" s="6">
        <v>1000</v>
      </c>
      <c r="BT12" s="6">
        <v>0</v>
      </c>
      <c r="BU12" s="6">
        <v>6000</v>
      </c>
      <c r="BV12" s="6"/>
      <c r="BW12" s="21">
        <f t="shared" si="28"/>
        <v>185461</v>
      </c>
      <c r="BX12" s="6">
        <f t="shared" si="29"/>
        <v>8073</v>
      </c>
      <c r="BY12" s="6">
        <f t="shared" si="30"/>
        <v>927</v>
      </c>
      <c r="BZ12" s="6">
        <v>1000</v>
      </c>
      <c r="CA12" s="6">
        <v>0</v>
      </c>
      <c r="CB12" s="6">
        <v>10000</v>
      </c>
      <c r="CC12" s="6"/>
      <c r="CD12" s="21">
        <f t="shared" si="31"/>
        <v>177388</v>
      </c>
      <c r="CE12" s="6">
        <f t="shared" si="32"/>
        <v>713</v>
      </c>
      <c r="CF12" s="6">
        <f t="shared" si="33"/>
        <v>887</v>
      </c>
      <c r="CG12" s="6">
        <v>1000</v>
      </c>
      <c r="CH12" s="6">
        <v>0</v>
      </c>
      <c r="CI12" s="6">
        <v>2600</v>
      </c>
      <c r="CJ12" s="6">
        <v>312</v>
      </c>
      <c r="CK12" s="5" t="s">
        <v>29</v>
      </c>
      <c r="CL12" s="14">
        <f t="shared" si="34"/>
        <v>176987</v>
      </c>
      <c r="CM12" s="14">
        <v>150361</v>
      </c>
      <c r="CN12" s="14">
        <v>0</v>
      </c>
      <c r="CO12" s="14"/>
      <c r="CP12" s="14">
        <f>'2018'!CS12</f>
        <v>75318</v>
      </c>
      <c r="CQ12" s="14">
        <f t="shared" si="38"/>
        <v>87318</v>
      </c>
      <c r="CR12" s="14"/>
      <c r="CS12" s="3">
        <f t="shared" si="37"/>
        <v>3686</v>
      </c>
      <c r="CU12" s="41">
        <f t="shared" si="36"/>
        <v>91004</v>
      </c>
      <c r="CV12" s="14">
        <v>60491</v>
      </c>
      <c r="CW12" s="14">
        <v>9147</v>
      </c>
      <c r="CX12" s="14">
        <v>86804</v>
      </c>
      <c r="CY12" s="14">
        <v>176675</v>
      </c>
      <c r="CZ12" s="14">
        <v>12000</v>
      </c>
    </row>
    <row r="13" spans="1:104">
      <c r="A13" s="5">
        <v>11</v>
      </c>
      <c r="B13" s="5" t="s">
        <v>30</v>
      </c>
      <c r="C13" s="7">
        <f>'2018'!CL13</f>
        <v>0</v>
      </c>
      <c r="D13" s="6">
        <f t="shared" si="0"/>
        <v>0</v>
      </c>
      <c r="E13" s="6">
        <f t="shared" si="1"/>
        <v>0</v>
      </c>
      <c r="F13" s="6">
        <v>7000</v>
      </c>
      <c r="G13" s="6">
        <v>0</v>
      </c>
      <c r="H13" s="6">
        <v>7000</v>
      </c>
      <c r="I13" s="6"/>
      <c r="J13" s="21">
        <f t="shared" si="2"/>
        <v>0</v>
      </c>
      <c r="K13" s="6">
        <f t="shared" si="3"/>
        <v>0</v>
      </c>
      <c r="L13" s="6">
        <f t="shared" si="35"/>
        <v>0</v>
      </c>
      <c r="M13" s="6">
        <v>7000</v>
      </c>
      <c r="N13" s="6">
        <v>0</v>
      </c>
      <c r="O13" s="6">
        <v>7000</v>
      </c>
      <c r="P13" s="6"/>
      <c r="Q13" s="21">
        <f t="shared" si="4"/>
        <v>0</v>
      </c>
      <c r="R13" s="6">
        <f t="shared" si="5"/>
        <v>0</v>
      </c>
      <c r="S13" s="6">
        <f t="shared" si="6"/>
        <v>0</v>
      </c>
      <c r="T13" s="6">
        <v>7000</v>
      </c>
      <c r="U13" s="6">
        <v>0</v>
      </c>
      <c r="V13" s="6">
        <v>7000</v>
      </c>
      <c r="W13" s="6"/>
      <c r="X13" s="21">
        <f t="shared" si="7"/>
        <v>0</v>
      </c>
      <c r="Y13" s="6">
        <f t="shared" si="8"/>
        <v>0</v>
      </c>
      <c r="Z13" s="6">
        <f t="shared" si="9"/>
        <v>0</v>
      </c>
      <c r="AA13" s="6">
        <v>7000</v>
      </c>
      <c r="AB13" s="6">
        <v>0</v>
      </c>
      <c r="AC13" s="6">
        <v>7000</v>
      </c>
      <c r="AD13" s="6"/>
      <c r="AE13" s="21">
        <f t="shared" si="10"/>
        <v>0</v>
      </c>
      <c r="AF13" s="6">
        <f t="shared" si="11"/>
        <v>0</v>
      </c>
      <c r="AG13" s="6">
        <f t="shared" si="12"/>
        <v>0</v>
      </c>
      <c r="AH13" s="6">
        <v>7000</v>
      </c>
      <c r="AI13" s="6">
        <v>0</v>
      </c>
      <c r="AJ13" s="6">
        <v>7000</v>
      </c>
      <c r="AK13" s="6"/>
      <c r="AL13" s="21">
        <f t="shared" si="13"/>
        <v>0</v>
      </c>
      <c r="AM13" s="6">
        <f t="shared" si="14"/>
        <v>0</v>
      </c>
      <c r="AN13" s="6">
        <f t="shared" si="15"/>
        <v>0</v>
      </c>
      <c r="AO13" s="6">
        <v>7000</v>
      </c>
      <c r="AP13" s="6">
        <v>0</v>
      </c>
      <c r="AQ13" s="6">
        <v>7000</v>
      </c>
      <c r="AR13" s="6">
        <v>0</v>
      </c>
      <c r="AS13" s="6"/>
      <c r="AU13" s="21">
        <f t="shared" si="16"/>
        <v>0</v>
      </c>
      <c r="AV13" s="6">
        <f t="shared" si="17"/>
        <v>0</v>
      </c>
      <c r="AW13" s="6">
        <f t="shared" si="18"/>
        <v>0</v>
      </c>
      <c r="AX13" s="6">
        <v>7000</v>
      </c>
      <c r="AY13" s="6">
        <v>0</v>
      </c>
      <c r="AZ13" s="6">
        <v>7000</v>
      </c>
      <c r="BA13" s="6">
        <v>0</v>
      </c>
      <c r="BB13" s="21">
        <f t="shared" si="19"/>
        <v>0</v>
      </c>
      <c r="BC13" s="6">
        <f t="shared" si="20"/>
        <v>0</v>
      </c>
      <c r="BD13" s="6">
        <f t="shared" si="21"/>
        <v>0</v>
      </c>
      <c r="BE13" s="6">
        <v>7000</v>
      </c>
      <c r="BF13" s="6">
        <v>0</v>
      </c>
      <c r="BG13" s="6">
        <v>7000</v>
      </c>
      <c r="BH13" s="6"/>
      <c r="BI13" s="21">
        <f t="shared" si="22"/>
        <v>0</v>
      </c>
      <c r="BJ13" s="6">
        <f t="shared" si="23"/>
        <v>0</v>
      </c>
      <c r="BK13" s="6">
        <f t="shared" si="24"/>
        <v>0</v>
      </c>
      <c r="BL13" s="6">
        <v>7000</v>
      </c>
      <c r="BM13" s="6">
        <v>0</v>
      </c>
      <c r="BN13" s="6">
        <v>7000</v>
      </c>
      <c r="BO13" s="6"/>
      <c r="BP13" s="21">
        <f t="shared" si="25"/>
        <v>0</v>
      </c>
      <c r="BQ13" s="6">
        <f t="shared" si="26"/>
        <v>0</v>
      </c>
      <c r="BR13" s="6">
        <f t="shared" si="27"/>
        <v>0</v>
      </c>
      <c r="BS13" s="6">
        <v>7000</v>
      </c>
      <c r="BT13" s="6">
        <v>0</v>
      </c>
      <c r="BU13" s="6">
        <v>7000</v>
      </c>
      <c r="BV13" s="6"/>
      <c r="BW13" s="21">
        <f t="shared" si="28"/>
        <v>0</v>
      </c>
      <c r="BX13" s="6">
        <f t="shared" si="29"/>
        <v>0</v>
      </c>
      <c r="BY13" s="6">
        <f t="shared" si="30"/>
        <v>0</v>
      </c>
      <c r="BZ13" s="6">
        <v>7000</v>
      </c>
      <c r="CA13" s="6">
        <v>0</v>
      </c>
      <c r="CB13" s="6">
        <v>7000</v>
      </c>
      <c r="CC13" s="6"/>
      <c r="CD13" s="21">
        <f t="shared" si="31"/>
        <v>0</v>
      </c>
      <c r="CE13" s="6">
        <f t="shared" si="32"/>
        <v>0</v>
      </c>
      <c r="CF13" s="6">
        <f t="shared" si="33"/>
        <v>0</v>
      </c>
      <c r="CG13" s="6">
        <v>7000</v>
      </c>
      <c r="CH13" s="6">
        <v>0</v>
      </c>
      <c r="CI13" s="6">
        <v>7000</v>
      </c>
      <c r="CJ13" s="6"/>
      <c r="CK13" s="5" t="s">
        <v>30</v>
      </c>
      <c r="CL13" s="14">
        <f t="shared" si="34"/>
        <v>0</v>
      </c>
      <c r="CM13" s="14">
        <v>0</v>
      </c>
      <c r="CN13" s="14">
        <v>0</v>
      </c>
      <c r="CO13" s="14"/>
      <c r="CP13" s="14">
        <f>'2018'!CS13</f>
        <v>158757</v>
      </c>
      <c r="CQ13" s="14">
        <f>CP13+F13+M13+T13+AA13+AH13+AO13+AX13+BE13+BL13+BS13+BZ13+CG13</f>
        <v>242757</v>
      </c>
      <c r="CR13" s="14"/>
      <c r="CS13" s="3">
        <f t="shared" si="37"/>
        <v>10246</v>
      </c>
      <c r="CU13" s="41">
        <f t="shared" si="36"/>
        <v>253003</v>
      </c>
      <c r="CV13" s="14">
        <v>0</v>
      </c>
      <c r="CW13" s="14">
        <v>0</v>
      </c>
      <c r="CX13" s="14">
        <v>0</v>
      </c>
      <c r="CY13" s="14">
        <v>0</v>
      </c>
      <c r="CZ13" s="14">
        <v>84000</v>
      </c>
    </row>
    <row r="14" spans="1:104">
      <c r="A14" s="5">
        <v>12</v>
      </c>
      <c r="B14" s="5" t="s">
        <v>31</v>
      </c>
      <c r="C14" s="7">
        <f>'2018'!CL14</f>
        <v>112544</v>
      </c>
      <c r="D14" s="6">
        <f t="shared" si="0"/>
        <v>3937</v>
      </c>
      <c r="E14" s="6">
        <f t="shared" si="1"/>
        <v>563</v>
      </c>
      <c r="F14" s="6">
        <v>1000</v>
      </c>
      <c r="G14" s="6">
        <v>0</v>
      </c>
      <c r="H14" s="6">
        <v>5500</v>
      </c>
      <c r="I14" s="6"/>
      <c r="J14" s="21">
        <f t="shared" si="2"/>
        <v>108607</v>
      </c>
      <c r="K14" s="6">
        <f t="shared" si="3"/>
        <v>7</v>
      </c>
      <c r="L14" s="6">
        <f t="shared" si="35"/>
        <v>543</v>
      </c>
      <c r="M14" s="6">
        <v>1000</v>
      </c>
      <c r="N14" s="6">
        <v>0</v>
      </c>
      <c r="O14" s="6">
        <v>1550</v>
      </c>
      <c r="P14" s="6"/>
      <c r="Q14" s="21">
        <f t="shared" si="4"/>
        <v>108600</v>
      </c>
      <c r="R14" s="6">
        <f t="shared" si="5"/>
        <v>3957</v>
      </c>
      <c r="S14" s="6">
        <f t="shared" si="6"/>
        <v>543</v>
      </c>
      <c r="T14" s="6">
        <v>1000</v>
      </c>
      <c r="U14" s="6">
        <v>0</v>
      </c>
      <c r="V14" s="6">
        <v>5500</v>
      </c>
      <c r="W14" s="6"/>
      <c r="X14" s="21">
        <f t="shared" si="7"/>
        <v>104643</v>
      </c>
      <c r="Y14" s="6">
        <f t="shared" si="8"/>
        <v>477</v>
      </c>
      <c r="Z14" s="6">
        <f t="shared" si="9"/>
        <v>523</v>
      </c>
      <c r="AA14" s="6">
        <v>1000</v>
      </c>
      <c r="AB14" s="6">
        <v>0</v>
      </c>
      <c r="AC14" s="6">
        <v>2000</v>
      </c>
      <c r="AD14" s="6">
        <v>7000</v>
      </c>
      <c r="AE14" s="21">
        <f t="shared" si="10"/>
        <v>111166</v>
      </c>
      <c r="AF14" s="6">
        <f t="shared" si="11"/>
        <v>1444</v>
      </c>
      <c r="AG14" s="6">
        <f t="shared" si="12"/>
        <v>556</v>
      </c>
      <c r="AH14" s="6">
        <v>1000</v>
      </c>
      <c r="AI14" s="6">
        <v>0</v>
      </c>
      <c r="AJ14" s="6">
        <v>3000</v>
      </c>
      <c r="AK14" s="6"/>
      <c r="AL14" s="21">
        <f t="shared" si="13"/>
        <v>109722</v>
      </c>
      <c r="AM14" s="6">
        <f t="shared" si="14"/>
        <v>0</v>
      </c>
      <c r="AN14" s="6">
        <f t="shared" si="15"/>
        <v>549</v>
      </c>
      <c r="AO14" s="6">
        <v>1000</v>
      </c>
      <c r="AP14" s="6">
        <v>0</v>
      </c>
      <c r="AQ14" s="6">
        <v>1549</v>
      </c>
      <c r="AR14" s="6">
        <v>10000</v>
      </c>
      <c r="AS14" s="6">
        <v>1549</v>
      </c>
      <c r="AU14" s="21">
        <f t="shared" si="16"/>
        <v>111271</v>
      </c>
      <c r="AV14" s="6">
        <f t="shared" si="17"/>
        <v>8444</v>
      </c>
      <c r="AW14" s="6">
        <f t="shared" si="18"/>
        <v>556</v>
      </c>
      <c r="AX14" s="6">
        <v>1000</v>
      </c>
      <c r="AY14" s="6">
        <v>0</v>
      </c>
      <c r="AZ14" s="6">
        <v>10000</v>
      </c>
      <c r="BA14" s="6">
        <v>0</v>
      </c>
      <c r="BB14" s="21">
        <f t="shared" si="19"/>
        <v>102827</v>
      </c>
      <c r="BC14" s="6">
        <f t="shared" si="20"/>
        <v>4486</v>
      </c>
      <c r="BD14" s="6">
        <f t="shared" si="21"/>
        <v>514</v>
      </c>
      <c r="BE14" s="6">
        <v>1000</v>
      </c>
      <c r="BF14" s="6">
        <v>1000</v>
      </c>
      <c r="BG14" s="6">
        <v>7000</v>
      </c>
      <c r="BH14" s="6"/>
      <c r="BI14" s="21">
        <f t="shared" si="22"/>
        <v>98341</v>
      </c>
      <c r="BJ14" s="6">
        <f t="shared" si="23"/>
        <v>4008</v>
      </c>
      <c r="BK14" s="6">
        <f t="shared" si="24"/>
        <v>492</v>
      </c>
      <c r="BL14" s="6">
        <v>1000</v>
      </c>
      <c r="BM14" s="6">
        <v>1000</v>
      </c>
      <c r="BN14" s="6">
        <v>6500</v>
      </c>
      <c r="BO14" s="6"/>
      <c r="BP14" s="21">
        <f t="shared" si="25"/>
        <v>94333</v>
      </c>
      <c r="BQ14" s="6">
        <f t="shared" si="26"/>
        <v>28</v>
      </c>
      <c r="BR14" s="6">
        <f t="shared" si="27"/>
        <v>472</v>
      </c>
      <c r="BS14" s="6">
        <v>1000</v>
      </c>
      <c r="BT14" s="6">
        <v>1000</v>
      </c>
      <c r="BU14" s="6">
        <v>2500</v>
      </c>
      <c r="BV14" s="6"/>
      <c r="BW14" s="21">
        <f t="shared" si="28"/>
        <v>94305</v>
      </c>
      <c r="BX14" s="6">
        <f t="shared" si="29"/>
        <v>4028</v>
      </c>
      <c r="BY14" s="6">
        <f t="shared" si="30"/>
        <v>472</v>
      </c>
      <c r="BZ14" s="6">
        <v>1000</v>
      </c>
      <c r="CA14" s="6">
        <v>1000</v>
      </c>
      <c r="CB14" s="21">
        <v>6500</v>
      </c>
      <c r="CC14" s="6"/>
      <c r="CD14" s="21">
        <f t="shared" si="31"/>
        <v>90277</v>
      </c>
      <c r="CE14" s="6">
        <f t="shared" si="32"/>
        <v>4049</v>
      </c>
      <c r="CF14" s="6">
        <f t="shared" si="33"/>
        <v>451</v>
      </c>
      <c r="CG14" s="6">
        <v>1000</v>
      </c>
      <c r="CH14" s="6">
        <v>1000</v>
      </c>
      <c r="CI14" s="6">
        <v>6500</v>
      </c>
      <c r="CJ14" s="6">
        <v>3317</v>
      </c>
      <c r="CK14" s="5" t="s">
        <v>31</v>
      </c>
      <c r="CL14" s="14">
        <f t="shared" si="34"/>
        <v>89545</v>
      </c>
      <c r="CM14" s="14">
        <v>112486</v>
      </c>
      <c r="CN14" s="14">
        <v>5000</v>
      </c>
      <c r="CO14" s="14"/>
      <c r="CP14" s="14">
        <f>'2018'!CS14</f>
        <v>52689</v>
      </c>
      <c r="CQ14" s="14">
        <f t="shared" si="38"/>
        <v>64689</v>
      </c>
      <c r="CR14" s="14"/>
      <c r="CS14" s="3">
        <f t="shared" si="37"/>
        <v>2730</v>
      </c>
      <c r="CU14" s="41">
        <f t="shared" si="36"/>
        <v>67419</v>
      </c>
      <c r="CV14" s="14">
        <v>36309</v>
      </c>
      <c r="CW14" s="14">
        <v>6296</v>
      </c>
      <c r="CX14" s="14">
        <v>10555</v>
      </c>
      <c r="CY14" s="14">
        <v>86790</v>
      </c>
      <c r="CZ14" s="14">
        <v>12000</v>
      </c>
    </row>
    <row r="15" spans="1:104">
      <c r="A15" s="5">
        <v>13</v>
      </c>
      <c r="B15" s="5" t="s">
        <v>32</v>
      </c>
      <c r="C15" s="7">
        <f>'2018'!CL15</f>
        <v>109240</v>
      </c>
      <c r="D15" s="6">
        <f t="shared" si="0"/>
        <v>3454</v>
      </c>
      <c r="E15" s="6">
        <f t="shared" si="1"/>
        <v>546</v>
      </c>
      <c r="F15" s="6">
        <v>1000</v>
      </c>
      <c r="G15" s="6">
        <v>1000</v>
      </c>
      <c r="H15" s="6">
        <v>6000</v>
      </c>
      <c r="I15" s="6"/>
      <c r="J15" s="21">
        <f t="shared" si="2"/>
        <v>105786</v>
      </c>
      <c r="K15" s="6">
        <f t="shared" si="3"/>
        <v>2471</v>
      </c>
      <c r="L15" s="6">
        <f t="shared" si="35"/>
        <v>529</v>
      </c>
      <c r="M15" s="6">
        <v>1000</v>
      </c>
      <c r="N15" s="6">
        <v>1000</v>
      </c>
      <c r="O15" s="6">
        <v>5000</v>
      </c>
      <c r="P15" s="6"/>
      <c r="Q15" s="21">
        <f t="shared" si="4"/>
        <v>103315</v>
      </c>
      <c r="R15" s="6">
        <f t="shared" si="5"/>
        <v>3483</v>
      </c>
      <c r="S15" s="6">
        <f t="shared" si="6"/>
        <v>517</v>
      </c>
      <c r="T15" s="6">
        <v>1000</v>
      </c>
      <c r="U15" s="6">
        <v>1000</v>
      </c>
      <c r="V15" s="6">
        <v>6000</v>
      </c>
      <c r="W15" s="6"/>
      <c r="X15" s="21">
        <f t="shared" si="7"/>
        <v>99832</v>
      </c>
      <c r="Y15" s="6">
        <f t="shared" si="8"/>
        <v>2501</v>
      </c>
      <c r="Z15" s="6">
        <f t="shared" si="9"/>
        <v>499</v>
      </c>
      <c r="AA15" s="6">
        <v>1000</v>
      </c>
      <c r="AB15" s="6">
        <v>1000</v>
      </c>
      <c r="AC15" s="6">
        <v>5000</v>
      </c>
      <c r="AD15" s="6"/>
      <c r="AE15" s="21">
        <f t="shared" si="10"/>
        <v>97331</v>
      </c>
      <c r="AF15" s="6">
        <f t="shared" si="11"/>
        <v>2513</v>
      </c>
      <c r="AG15" s="6">
        <f t="shared" si="12"/>
        <v>487</v>
      </c>
      <c r="AH15" s="6">
        <v>1000</v>
      </c>
      <c r="AI15" s="6">
        <v>1000</v>
      </c>
      <c r="AJ15" s="6">
        <v>5000</v>
      </c>
      <c r="AK15" s="6"/>
      <c r="AL15" s="21">
        <f t="shared" si="13"/>
        <v>94818</v>
      </c>
      <c r="AM15" s="6">
        <f t="shared" si="14"/>
        <v>3526</v>
      </c>
      <c r="AN15" s="6">
        <f t="shared" si="15"/>
        <v>474</v>
      </c>
      <c r="AO15" s="6">
        <v>1000</v>
      </c>
      <c r="AP15" s="6">
        <v>0</v>
      </c>
      <c r="AQ15" s="6">
        <v>5000</v>
      </c>
      <c r="AR15" s="6">
        <v>0</v>
      </c>
      <c r="AS15" s="6"/>
      <c r="AU15" s="21">
        <f t="shared" si="16"/>
        <v>91292</v>
      </c>
      <c r="AV15" s="6">
        <f t="shared" si="17"/>
        <v>0</v>
      </c>
      <c r="AW15" s="6">
        <f t="shared" si="18"/>
        <v>456</v>
      </c>
      <c r="AX15" s="6">
        <v>1000</v>
      </c>
      <c r="AY15" s="6">
        <v>0</v>
      </c>
      <c r="AZ15" s="6">
        <v>1456</v>
      </c>
      <c r="BA15" s="6">
        <v>6956</v>
      </c>
      <c r="BB15" s="21">
        <f t="shared" si="19"/>
        <v>98248</v>
      </c>
      <c r="BC15" s="6">
        <f t="shared" si="20"/>
        <v>4509</v>
      </c>
      <c r="BD15" s="6">
        <f t="shared" si="21"/>
        <v>491</v>
      </c>
      <c r="BE15" s="6">
        <v>1000</v>
      </c>
      <c r="BF15" s="6">
        <v>0</v>
      </c>
      <c r="BG15" s="6">
        <v>6000</v>
      </c>
      <c r="BH15" s="6"/>
      <c r="BI15" s="21">
        <f t="shared" si="22"/>
        <v>93739</v>
      </c>
      <c r="BJ15" s="6">
        <f t="shared" si="23"/>
        <v>4531</v>
      </c>
      <c r="BK15" s="6">
        <f t="shared" si="24"/>
        <v>469</v>
      </c>
      <c r="BL15" s="6">
        <v>1000</v>
      </c>
      <c r="BM15" s="6">
        <v>0</v>
      </c>
      <c r="BN15" s="6">
        <v>6000</v>
      </c>
      <c r="BO15" s="6"/>
      <c r="BP15" s="21">
        <f t="shared" si="25"/>
        <v>89208</v>
      </c>
      <c r="BQ15" s="6">
        <f t="shared" si="26"/>
        <v>3554</v>
      </c>
      <c r="BR15" s="6">
        <f t="shared" si="27"/>
        <v>446</v>
      </c>
      <c r="BS15" s="6">
        <v>1000</v>
      </c>
      <c r="BT15" s="6">
        <v>0</v>
      </c>
      <c r="BU15" s="6">
        <v>5000</v>
      </c>
      <c r="BV15" s="6"/>
      <c r="BW15" s="21">
        <f t="shared" si="28"/>
        <v>85654</v>
      </c>
      <c r="BX15" s="6">
        <f t="shared" si="29"/>
        <v>3572</v>
      </c>
      <c r="BY15" s="6">
        <f t="shared" si="30"/>
        <v>428</v>
      </c>
      <c r="BZ15" s="6">
        <v>1000</v>
      </c>
      <c r="CA15" s="6">
        <v>0</v>
      </c>
      <c r="CB15" s="6">
        <v>5000</v>
      </c>
      <c r="CC15" s="6"/>
      <c r="CD15" s="21">
        <f t="shared" si="31"/>
        <v>82082</v>
      </c>
      <c r="CE15" s="6">
        <f t="shared" si="32"/>
        <v>4690</v>
      </c>
      <c r="CF15" s="6">
        <f t="shared" si="33"/>
        <v>410</v>
      </c>
      <c r="CG15" s="6">
        <v>1000</v>
      </c>
      <c r="CH15" s="6">
        <v>0</v>
      </c>
      <c r="CI15" s="6">
        <v>6100</v>
      </c>
      <c r="CJ15" s="6">
        <v>365</v>
      </c>
      <c r="CK15" s="5" t="s">
        <v>32</v>
      </c>
      <c r="CL15" s="14">
        <f t="shared" si="34"/>
        <v>77757</v>
      </c>
      <c r="CM15" s="14">
        <v>109188</v>
      </c>
      <c r="CN15" s="14">
        <v>0</v>
      </c>
      <c r="CO15" s="14">
        <v>10000</v>
      </c>
      <c r="CP15" s="14">
        <f>'2018'!CS15</f>
        <v>54804</v>
      </c>
      <c r="CQ15" s="14">
        <f t="shared" si="38"/>
        <v>66804</v>
      </c>
      <c r="CR15" s="14"/>
      <c r="CS15" s="3">
        <f t="shared" si="37"/>
        <v>2820</v>
      </c>
      <c r="CU15" s="41">
        <f t="shared" si="36"/>
        <v>69624</v>
      </c>
      <c r="CV15" s="14">
        <v>38804</v>
      </c>
      <c r="CW15" s="14">
        <v>5752</v>
      </c>
      <c r="CX15" s="14">
        <v>6956</v>
      </c>
      <c r="CY15" s="14">
        <v>77392</v>
      </c>
      <c r="CZ15" s="14">
        <v>12000</v>
      </c>
    </row>
    <row r="16" spans="1:104">
      <c r="A16" s="5">
        <v>14</v>
      </c>
      <c r="B16" s="5" t="s">
        <v>33</v>
      </c>
      <c r="C16" s="7">
        <f>'2018'!CL16</f>
        <v>44932</v>
      </c>
      <c r="D16" s="6">
        <f t="shared" si="0"/>
        <v>-225</v>
      </c>
      <c r="E16" s="6">
        <f t="shared" si="1"/>
        <v>225</v>
      </c>
      <c r="F16" s="6">
        <v>1000</v>
      </c>
      <c r="G16" s="6">
        <v>1000</v>
      </c>
      <c r="H16" s="6">
        <v>2000</v>
      </c>
      <c r="I16" s="6"/>
      <c r="J16" s="21">
        <f t="shared" si="2"/>
        <v>45157</v>
      </c>
      <c r="K16" s="6">
        <f t="shared" si="3"/>
        <v>2774</v>
      </c>
      <c r="L16" s="6">
        <f t="shared" si="35"/>
        <v>226</v>
      </c>
      <c r="M16" s="6">
        <v>1000</v>
      </c>
      <c r="N16" s="6">
        <v>1000</v>
      </c>
      <c r="O16" s="6">
        <v>5000</v>
      </c>
      <c r="P16" s="6"/>
      <c r="Q16" s="21">
        <f t="shared" si="4"/>
        <v>42383</v>
      </c>
      <c r="R16" s="6">
        <f t="shared" si="5"/>
        <v>2788</v>
      </c>
      <c r="S16" s="6">
        <f t="shared" si="6"/>
        <v>212</v>
      </c>
      <c r="T16" s="6">
        <v>1000</v>
      </c>
      <c r="U16" s="6">
        <v>1000</v>
      </c>
      <c r="V16" s="6">
        <v>5000</v>
      </c>
      <c r="W16" s="6"/>
      <c r="X16" s="21">
        <f t="shared" si="7"/>
        <v>39595</v>
      </c>
      <c r="Y16" s="6">
        <f t="shared" si="8"/>
        <v>2802</v>
      </c>
      <c r="Z16" s="6">
        <f t="shared" si="9"/>
        <v>198</v>
      </c>
      <c r="AA16" s="6">
        <v>1000</v>
      </c>
      <c r="AB16" s="6">
        <v>1000</v>
      </c>
      <c r="AC16" s="6">
        <v>5000</v>
      </c>
      <c r="AD16" s="6"/>
      <c r="AE16" s="21">
        <f t="shared" si="10"/>
        <v>36793</v>
      </c>
      <c r="AF16" s="6">
        <f t="shared" si="11"/>
        <v>1816</v>
      </c>
      <c r="AG16" s="6">
        <f t="shared" si="12"/>
        <v>184</v>
      </c>
      <c r="AH16" s="6">
        <v>1000</v>
      </c>
      <c r="AI16" s="6">
        <v>1000</v>
      </c>
      <c r="AJ16" s="6">
        <v>4000</v>
      </c>
      <c r="AK16" s="6"/>
      <c r="AL16" s="21">
        <f t="shared" si="13"/>
        <v>34977</v>
      </c>
      <c r="AM16" s="6">
        <f t="shared" si="14"/>
        <v>3825</v>
      </c>
      <c r="AN16" s="6">
        <f t="shared" si="15"/>
        <v>175</v>
      </c>
      <c r="AO16" s="6">
        <v>1000</v>
      </c>
      <c r="AP16" s="6">
        <v>0</v>
      </c>
      <c r="AQ16" s="6">
        <v>5000</v>
      </c>
      <c r="AR16" s="6">
        <v>10000</v>
      </c>
      <c r="AS16" s="6"/>
      <c r="AU16" s="21">
        <f t="shared" si="16"/>
        <v>31152</v>
      </c>
      <c r="AV16" s="6">
        <f t="shared" si="17"/>
        <v>11844</v>
      </c>
      <c r="AW16" s="6">
        <f t="shared" si="18"/>
        <v>156</v>
      </c>
      <c r="AX16" s="6">
        <v>1000</v>
      </c>
      <c r="AY16" s="6">
        <v>0</v>
      </c>
      <c r="AZ16" s="6">
        <v>13000</v>
      </c>
      <c r="BA16" s="6">
        <v>0</v>
      </c>
      <c r="BB16" s="21">
        <f t="shared" si="19"/>
        <v>19308</v>
      </c>
      <c r="BC16" s="6">
        <f t="shared" si="20"/>
        <v>-597</v>
      </c>
      <c r="BD16" s="6">
        <f t="shared" si="21"/>
        <v>97</v>
      </c>
      <c r="BE16" s="6">
        <v>1000</v>
      </c>
      <c r="BF16" s="6">
        <v>1000</v>
      </c>
      <c r="BG16" s="6">
        <v>1500</v>
      </c>
      <c r="BH16" s="6"/>
      <c r="BI16" s="21">
        <f t="shared" si="22"/>
        <v>19905</v>
      </c>
      <c r="BJ16" s="6">
        <f t="shared" si="23"/>
        <v>-100</v>
      </c>
      <c r="BK16" s="6">
        <f t="shared" si="24"/>
        <v>100</v>
      </c>
      <c r="BL16" s="6">
        <v>1000</v>
      </c>
      <c r="BM16" s="6">
        <v>1000</v>
      </c>
      <c r="BN16" s="6">
        <v>2000</v>
      </c>
      <c r="BO16" s="6"/>
      <c r="BP16" s="21">
        <f t="shared" si="25"/>
        <v>20005</v>
      </c>
      <c r="BQ16" s="6">
        <f t="shared" si="26"/>
        <v>-600</v>
      </c>
      <c r="BR16" s="6">
        <f t="shared" si="27"/>
        <v>100</v>
      </c>
      <c r="BS16" s="6">
        <v>1000</v>
      </c>
      <c r="BT16" s="6">
        <v>1000</v>
      </c>
      <c r="BU16" s="6">
        <v>1500</v>
      </c>
      <c r="BV16" s="6"/>
      <c r="BW16" s="21">
        <f t="shared" si="28"/>
        <v>20605</v>
      </c>
      <c r="BX16" s="6">
        <f t="shared" si="29"/>
        <v>897</v>
      </c>
      <c r="BY16" s="6">
        <f t="shared" si="30"/>
        <v>103</v>
      </c>
      <c r="BZ16" s="6">
        <v>1000</v>
      </c>
      <c r="CA16" s="6">
        <v>1000</v>
      </c>
      <c r="CB16" s="6">
        <v>3000</v>
      </c>
      <c r="CC16" s="6"/>
      <c r="CD16" s="21">
        <f t="shared" si="31"/>
        <v>19708</v>
      </c>
      <c r="CE16" s="6">
        <f t="shared" si="32"/>
        <v>0</v>
      </c>
      <c r="CF16" s="6">
        <f t="shared" si="33"/>
        <v>99</v>
      </c>
      <c r="CG16" s="6">
        <v>1000</v>
      </c>
      <c r="CH16" s="6">
        <v>1000</v>
      </c>
      <c r="CI16" s="6">
        <v>2099</v>
      </c>
      <c r="CJ16" s="6">
        <v>52258</v>
      </c>
      <c r="CK16" s="5" t="s">
        <v>33</v>
      </c>
      <c r="CL16" s="14">
        <f t="shared" si="34"/>
        <v>71966</v>
      </c>
      <c r="CM16" s="14">
        <v>56114</v>
      </c>
      <c r="CN16" s="14">
        <v>5000</v>
      </c>
      <c r="CO16" s="14">
        <v>5000</v>
      </c>
      <c r="CP16" s="14">
        <f>'2018'!CS16</f>
        <v>49317</v>
      </c>
      <c r="CQ16" s="14">
        <f t="shared" si="38"/>
        <v>61317</v>
      </c>
      <c r="CR16" s="14"/>
      <c r="CS16" s="3">
        <f t="shared" si="37"/>
        <v>2588</v>
      </c>
      <c r="CU16" s="41">
        <f t="shared" si="36"/>
        <v>63905</v>
      </c>
      <c r="CV16" s="14">
        <v>25172</v>
      </c>
      <c r="CW16" s="14">
        <v>1927</v>
      </c>
      <c r="CX16" s="14">
        <v>52099</v>
      </c>
      <c r="CY16" s="14">
        <v>71939</v>
      </c>
      <c r="CZ16" s="14">
        <v>12000</v>
      </c>
    </row>
    <row r="17" spans="1:104">
      <c r="A17" s="5">
        <v>15</v>
      </c>
      <c r="B17" s="5" t="s">
        <v>34</v>
      </c>
      <c r="C17" s="7">
        <f>'2018'!CL17</f>
        <v>40482</v>
      </c>
      <c r="D17" s="6">
        <f t="shared" si="0"/>
        <v>4798</v>
      </c>
      <c r="E17" s="6">
        <f t="shared" si="1"/>
        <v>202</v>
      </c>
      <c r="F17" s="6">
        <v>1000</v>
      </c>
      <c r="G17" s="6">
        <v>1000</v>
      </c>
      <c r="H17" s="6">
        <v>7000</v>
      </c>
      <c r="I17" s="6"/>
      <c r="J17" s="21">
        <f t="shared" si="2"/>
        <v>35684</v>
      </c>
      <c r="K17" s="6">
        <f t="shared" si="3"/>
        <v>4822</v>
      </c>
      <c r="L17" s="6">
        <f t="shared" si="35"/>
        <v>178</v>
      </c>
      <c r="M17" s="6">
        <v>1000</v>
      </c>
      <c r="N17" s="6">
        <v>1000</v>
      </c>
      <c r="O17" s="6">
        <v>7000</v>
      </c>
      <c r="P17" s="6"/>
      <c r="Q17" s="21">
        <f t="shared" si="4"/>
        <v>30862</v>
      </c>
      <c r="R17" s="6">
        <f t="shared" si="5"/>
        <v>4846</v>
      </c>
      <c r="S17" s="6">
        <f t="shared" si="6"/>
        <v>154</v>
      </c>
      <c r="T17" s="6">
        <v>1000</v>
      </c>
      <c r="U17" s="6">
        <v>1000</v>
      </c>
      <c r="V17" s="6">
        <v>7000</v>
      </c>
      <c r="W17" s="6"/>
      <c r="X17" s="21">
        <f t="shared" si="7"/>
        <v>26016</v>
      </c>
      <c r="Y17" s="6">
        <f t="shared" si="8"/>
        <v>4870</v>
      </c>
      <c r="Z17" s="6">
        <f t="shared" si="9"/>
        <v>130</v>
      </c>
      <c r="AA17" s="6">
        <v>1000</v>
      </c>
      <c r="AB17" s="6">
        <v>1000</v>
      </c>
      <c r="AC17" s="6">
        <v>7000</v>
      </c>
      <c r="AD17" s="6"/>
      <c r="AE17" s="21">
        <f t="shared" si="10"/>
        <v>21146</v>
      </c>
      <c r="AF17" s="6">
        <f t="shared" si="11"/>
        <v>4894</v>
      </c>
      <c r="AG17" s="6">
        <f t="shared" si="12"/>
        <v>106</v>
      </c>
      <c r="AH17" s="6">
        <v>1000</v>
      </c>
      <c r="AI17" s="6">
        <v>1000</v>
      </c>
      <c r="AJ17" s="6">
        <v>7000</v>
      </c>
      <c r="AK17" s="6"/>
      <c r="AL17" s="21">
        <f t="shared" si="13"/>
        <v>16252</v>
      </c>
      <c r="AM17" s="6">
        <f t="shared" si="14"/>
        <v>4919</v>
      </c>
      <c r="AN17" s="6">
        <f t="shared" si="15"/>
        <v>81</v>
      </c>
      <c r="AO17" s="6">
        <v>1000</v>
      </c>
      <c r="AP17" s="6">
        <v>0</v>
      </c>
      <c r="AQ17" s="6">
        <v>6000</v>
      </c>
      <c r="AR17" s="6">
        <v>10000</v>
      </c>
      <c r="AS17" s="6"/>
      <c r="AU17" s="21">
        <f t="shared" si="16"/>
        <v>11333</v>
      </c>
      <c r="AV17" s="6">
        <f t="shared" si="17"/>
        <v>9943</v>
      </c>
      <c r="AW17" s="6">
        <f t="shared" si="18"/>
        <v>57</v>
      </c>
      <c r="AX17" s="6">
        <v>1000</v>
      </c>
      <c r="AY17" s="6">
        <v>0</v>
      </c>
      <c r="AZ17" s="6">
        <v>11000</v>
      </c>
      <c r="BA17" s="6">
        <v>0</v>
      </c>
      <c r="BB17" s="21">
        <f t="shared" si="19"/>
        <v>1390</v>
      </c>
      <c r="BC17" s="6">
        <f t="shared" si="20"/>
        <v>493</v>
      </c>
      <c r="BD17" s="6">
        <f t="shared" si="21"/>
        <v>7</v>
      </c>
      <c r="BE17" s="6">
        <v>1000</v>
      </c>
      <c r="BF17" s="6">
        <v>1000</v>
      </c>
      <c r="BG17" s="6">
        <v>2500</v>
      </c>
      <c r="BH17" s="6"/>
      <c r="BI17" s="21">
        <f t="shared" si="22"/>
        <v>897</v>
      </c>
      <c r="BJ17" s="6">
        <f t="shared" si="23"/>
        <v>897</v>
      </c>
      <c r="BK17" s="6">
        <f t="shared" si="24"/>
        <v>4</v>
      </c>
      <c r="BL17" s="6">
        <v>1099</v>
      </c>
      <c r="BM17" s="6">
        <v>1000</v>
      </c>
      <c r="BN17" s="6">
        <v>3000</v>
      </c>
      <c r="BO17" s="6"/>
      <c r="BP17" s="21">
        <f t="shared" si="25"/>
        <v>0</v>
      </c>
      <c r="BQ17" s="6">
        <f t="shared" si="26"/>
        <v>0</v>
      </c>
      <c r="BR17" s="6">
        <f t="shared" si="27"/>
        <v>0</v>
      </c>
      <c r="BS17" s="6">
        <v>2200</v>
      </c>
      <c r="BT17" s="6">
        <v>1000</v>
      </c>
      <c r="BU17" s="6">
        <v>3200</v>
      </c>
      <c r="BV17" s="6"/>
      <c r="BW17" s="21">
        <f t="shared" si="28"/>
        <v>0</v>
      </c>
      <c r="BX17" s="6">
        <f t="shared" si="29"/>
        <v>0</v>
      </c>
      <c r="BY17" s="6">
        <f t="shared" si="30"/>
        <v>0</v>
      </c>
      <c r="BZ17" s="6">
        <v>1000</v>
      </c>
      <c r="CA17" s="6">
        <v>1000</v>
      </c>
      <c r="CB17" s="6">
        <v>2000</v>
      </c>
      <c r="CC17" s="6"/>
      <c r="CD17" s="21">
        <f t="shared" si="31"/>
        <v>0</v>
      </c>
      <c r="CE17" s="6">
        <f t="shared" si="32"/>
        <v>0</v>
      </c>
      <c r="CF17" s="6">
        <f t="shared" si="33"/>
        <v>0</v>
      </c>
      <c r="CG17" s="6">
        <v>1000</v>
      </c>
      <c r="CH17" s="6">
        <v>1000</v>
      </c>
      <c r="CI17" s="6">
        <v>2000</v>
      </c>
      <c r="CJ17" s="6"/>
      <c r="CK17" s="5" t="s">
        <v>34</v>
      </c>
      <c r="CL17" s="14">
        <f t="shared" si="34"/>
        <v>0</v>
      </c>
      <c r="CM17" s="14">
        <v>40476</v>
      </c>
      <c r="CN17" s="14">
        <v>5000</v>
      </c>
      <c r="CO17" s="14">
        <v>5000</v>
      </c>
      <c r="CP17" s="14">
        <f>'2018'!CS17</f>
        <v>46059</v>
      </c>
      <c r="CQ17" s="14">
        <f t="shared" si="38"/>
        <v>59358</v>
      </c>
      <c r="CR17" s="14"/>
      <c r="CS17" s="3">
        <f t="shared" si="37"/>
        <v>2505</v>
      </c>
      <c r="CU17" s="41">
        <f t="shared" si="36"/>
        <v>61863</v>
      </c>
      <c r="CV17" s="14">
        <v>40482</v>
      </c>
      <c r="CW17" s="14">
        <v>970</v>
      </c>
      <c r="CX17" s="14">
        <v>0</v>
      </c>
      <c r="CY17" s="14">
        <v>0</v>
      </c>
      <c r="CZ17" s="14">
        <v>13248</v>
      </c>
    </row>
    <row r="18" spans="1:104">
      <c r="A18" s="5">
        <v>16</v>
      </c>
      <c r="B18" s="5" t="s">
        <v>35</v>
      </c>
      <c r="C18" s="7">
        <f>'2018'!CL18</f>
        <v>0</v>
      </c>
      <c r="D18" s="6">
        <f t="shared" si="0"/>
        <v>0</v>
      </c>
      <c r="E18" s="6">
        <f t="shared" si="1"/>
        <v>0</v>
      </c>
      <c r="F18" s="6">
        <v>1000</v>
      </c>
      <c r="G18" s="6">
        <v>0</v>
      </c>
      <c r="H18" s="6">
        <v>1000</v>
      </c>
      <c r="I18" s="6"/>
      <c r="J18" s="21">
        <f t="shared" si="2"/>
        <v>0</v>
      </c>
      <c r="K18" s="6">
        <f t="shared" si="3"/>
        <v>0</v>
      </c>
      <c r="L18" s="6">
        <f t="shared" si="35"/>
        <v>0</v>
      </c>
      <c r="M18" s="6">
        <v>1000</v>
      </c>
      <c r="N18" s="6">
        <v>0</v>
      </c>
      <c r="O18" s="6">
        <v>1000</v>
      </c>
      <c r="P18" s="6"/>
      <c r="Q18" s="21">
        <f t="shared" si="4"/>
        <v>0</v>
      </c>
      <c r="R18" s="6">
        <f t="shared" si="5"/>
        <v>0</v>
      </c>
      <c r="S18" s="6">
        <f t="shared" si="6"/>
        <v>0</v>
      </c>
      <c r="T18" s="6">
        <v>1000</v>
      </c>
      <c r="U18" s="6">
        <v>0</v>
      </c>
      <c r="V18" s="6">
        <v>1000</v>
      </c>
      <c r="W18" s="6"/>
      <c r="X18" s="21">
        <f t="shared" si="7"/>
        <v>0</v>
      </c>
      <c r="Y18" s="6">
        <f t="shared" si="8"/>
        <v>0</v>
      </c>
      <c r="Z18" s="6">
        <f t="shared" si="9"/>
        <v>0</v>
      </c>
      <c r="AA18" s="6">
        <v>1000</v>
      </c>
      <c r="AB18" s="6">
        <v>0</v>
      </c>
      <c r="AC18" s="6">
        <v>1000</v>
      </c>
      <c r="AD18" s="6"/>
      <c r="AE18" s="21">
        <f t="shared" si="10"/>
        <v>0</v>
      </c>
      <c r="AF18" s="6">
        <f t="shared" si="11"/>
        <v>0</v>
      </c>
      <c r="AG18" s="6">
        <f t="shared" si="12"/>
        <v>0</v>
      </c>
      <c r="AH18" s="6">
        <v>1000</v>
      </c>
      <c r="AI18" s="6">
        <v>0</v>
      </c>
      <c r="AJ18" s="6">
        <v>1000</v>
      </c>
      <c r="AK18" s="6"/>
      <c r="AL18" s="21">
        <f t="shared" si="13"/>
        <v>0</v>
      </c>
      <c r="AM18" s="6">
        <f t="shared" si="14"/>
        <v>0</v>
      </c>
      <c r="AN18" s="6">
        <f t="shared" si="15"/>
        <v>0</v>
      </c>
      <c r="AO18" s="6">
        <v>1000</v>
      </c>
      <c r="AP18" s="6">
        <v>0</v>
      </c>
      <c r="AQ18" s="6">
        <v>1000</v>
      </c>
      <c r="AR18" s="6">
        <v>0</v>
      </c>
      <c r="AS18" s="6"/>
      <c r="AU18" s="21">
        <f t="shared" si="16"/>
        <v>0</v>
      </c>
      <c r="AV18" s="6">
        <f t="shared" si="17"/>
        <v>0</v>
      </c>
      <c r="AW18" s="6">
        <f t="shared" si="18"/>
        <v>0</v>
      </c>
      <c r="AX18" s="6">
        <v>1000</v>
      </c>
      <c r="AY18" s="6">
        <v>0</v>
      </c>
      <c r="AZ18" s="6">
        <v>1000</v>
      </c>
      <c r="BA18" s="6">
        <v>0</v>
      </c>
      <c r="BB18" s="21">
        <f t="shared" si="19"/>
        <v>0</v>
      </c>
      <c r="BC18" s="6">
        <f t="shared" si="20"/>
        <v>0</v>
      </c>
      <c r="BD18" s="6">
        <f t="shared" si="21"/>
        <v>0</v>
      </c>
      <c r="BE18" s="6">
        <v>1000</v>
      </c>
      <c r="BF18" s="6">
        <v>0</v>
      </c>
      <c r="BG18" s="6">
        <v>1000</v>
      </c>
      <c r="BH18" s="6"/>
      <c r="BI18" s="21">
        <f t="shared" si="22"/>
        <v>0</v>
      </c>
      <c r="BJ18" s="6">
        <f t="shared" si="23"/>
        <v>0</v>
      </c>
      <c r="BK18" s="6">
        <f t="shared" si="24"/>
        <v>0</v>
      </c>
      <c r="BL18" s="6">
        <v>1000</v>
      </c>
      <c r="BM18" s="6">
        <v>0</v>
      </c>
      <c r="BN18" s="6">
        <v>1000</v>
      </c>
      <c r="BO18" s="6"/>
      <c r="BP18" s="21">
        <f t="shared" si="25"/>
        <v>0</v>
      </c>
      <c r="BQ18" s="6">
        <f t="shared" si="26"/>
        <v>0</v>
      </c>
      <c r="BR18" s="6">
        <f t="shared" si="27"/>
        <v>0</v>
      </c>
      <c r="BS18" s="6">
        <v>1000</v>
      </c>
      <c r="BT18" s="6">
        <v>0</v>
      </c>
      <c r="BU18" s="6">
        <v>1000</v>
      </c>
      <c r="BV18" s="6"/>
      <c r="BW18" s="21">
        <f t="shared" si="28"/>
        <v>0</v>
      </c>
      <c r="BX18" s="6">
        <f t="shared" si="29"/>
        <v>0</v>
      </c>
      <c r="BY18" s="6">
        <f t="shared" si="30"/>
        <v>0</v>
      </c>
      <c r="BZ18" s="6">
        <v>1000</v>
      </c>
      <c r="CA18" s="6">
        <v>0</v>
      </c>
      <c r="CB18" s="6">
        <v>1000</v>
      </c>
      <c r="CC18" s="6"/>
      <c r="CD18" s="21">
        <f t="shared" si="31"/>
        <v>0</v>
      </c>
      <c r="CE18" s="6">
        <f t="shared" si="32"/>
        <v>0</v>
      </c>
      <c r="CF18" s="6">
        <f t="shared" si="33"/>
        <v>0</v>
      </c>
      <c r="CG18" s="6">
        <v>1000</v>
      </c>
      <c r="CH18" s="6">
        <v>0</v>
      </c>
      <c r="CI18" s="6">
        <v>1000</v>
      </c>
      <c r="CJ18" s="6"/>
      <c r="CK18" s="5" t="s">
        <v>35</v>
      </c>
      <c r="CL18" s="14">
        <f t="shared" si="34"/>
        <v>0</v>
      </c>
      <c r="CM18" s="14">
        <v>50990</v>
      </c>
      <c r="CN18" s="14">
        <v>0</v>
      </c>
      <c r="CO18" s="14"/>
      <c r="CP18" s="14">
        <f>'2018'!CS18</f>
        <v>38348</v>
      </c>
      <c r="CQ18" s="14">
        <f t="shared" si="38"/>
        <v>50348</v>
      </c>
      <c r="CR18" s="14"/>
      <c r="CS18" s="3">
        <f t="shared" si="37"/>
        <v>2125</v>
      </c>
      <c r="CU18" s="41">
        <f t="shared" si="36"/>
        <v>52473</v>
      </c>
      <c r="CV18" s="14">
        <v>0</v>
      </c>
      <c r="CW18" s="14">
        <v>0</v>
      </c>
      <c r="CX18" s="14">
        <v>0</v>
      </c>
      <c r="CY18" s="14">
        <v>0</v>
      </c>
      <c r="CZ18" s="14">
        <v>12000</v>
      </c>
    </row>
    <row r="19" spans="1:104">
      <c r="A19" s="5">
        <v>17</v>
      </c>
      <c r="B19" s="5" t="s">
        <v>36</v>
      </c>
      <c r="C19" s="7">
        <f>'2018'!CL19</f>
        <v>109612</v>
      </c>
      <c r="D19" s="6">
        <f t="shared" si="0"/>
        <v>0</v>
      </c>
      <c r="E19" s="6">
        <f t="shared" si="1"/>
        <v>548</v>
      </c>
      <c r="F19" s="6">
        <v>1000</v>
      </c>
      <c r="G19" s="6">
        <v>1000</v>
      </c>
      <c r="H19" s="6">
        <v>2548</v>
      </c>
      <c r="I19" s="6">
        <v>2548</v>
      </c>
      <c r="J19" s="21">
        <f t="shared" si="2"/>
        <v>112160</v>
      </c>
      <c r="K19" s="6">
        <f t="shared" si="3"/>
        <v>2439</v>
      </c>
      <c r="L19" s="6">
        <f t="shared" si="35"/>
        <v>561</v>
      </c>
      <c r="M19" s="6">
        <v>1000</v>
      </c>
      <c r="N19" s="6">
        <v>1000</v>
      </c>
      <c r="O19" s="6">
        <v>5000</v>
      </c>
      <c r="P19" s="6"/>
      <c r="Q19" s="21">
        <f t="shared" si="4"/>
        <v>109721</v>
      </c>
      <c r="R19" s="6">
        <f t="shared" si="5"/>
        <v>-549</v>
      </c>
      <c r="S19" s="6">
        <f t="shared" si="6"/>
        <v>549</v>
      </c>
      <c r="T19" s="6">
        <v>1000</v>
      </c>
      <c r="U19" s="6">
        <v>1000</v>
      </c>
      <c r="V19" s="6">
        <v>2000</v>
      </c>
      <c r="W19" s="6">
        <v>2000</v>
      </c>
      <c r="X19" s="21">
        <f t="shared" si="7"/>
        <v>112270</v>
      </c>
      <c r="Y19" s="6">
        <f t="shared" si="8"/>
        <v>0</v>
      </c>
      <c r="Z19" s="6">
        <f t="shared" si="9"/>
        <v>561</v>
      </c>
      <c r="AA19" s="6">
        <v>1000</v>
      </c>
      <c r="AB19" s="6">
        <v>1000</v>
      </c>
      <c r="AC19" s="6">
        <v>2561</v>
      </c>
      <c r="AD19" s="6">
        <v>2561</v>
      </c>
      <c r="AE19" s="21">
        <f t="shared" si="10"/>
        <v>114831</v>
      </c>
      <c r="AF19" s="6">
        <f t="shared" si="11"/>
        <v>2426</v>
      </c>
      <c r="AG19" s="6">
        <f t="shared" si="12"/>
        <v>574</v>
      </c>
      <c r="AH19" s="6">
        <v>1000</v>
      </c>
      <c r="AI19" s="6">
        <v>1000</v>
      </c>
      <c r="AJ19" s="6">
        <v>5000</v>
      </c>
      <c r="AK19" s="6"/>
      <c r="AL19" s="21">
        <f t="shared" si="13"/>
        <v>112405</v>
      </c>
      <c r="AM19" s="6">
        <f t="shared" si="14"/>
        <v>-62</v>
      </c>
      <c r="AN19" s="6">
        <f t="shared" si="15"/>
        <v>562</v>
      </c>
      <c r="AO19" s="6">
        <v>1000</v>
      </c>
      <c r="AP19" s="6">
        <v>0</v>
      </c>
      <c r="AQ19" s="6">
        <v>1500</v>
      </c>
      <c r="AR19" s="6">
        <v>0</v>
      </c>
      <c r="AS19" s="6"/>
      <c r="AU19" s="21">
        <f t="shared" si="16"/>
        <v>112467</v>
      </c>
      <c r="AV19" s="6">
        <f t="shared" si="17"/>
        <v>-62</v>
      </c>
      <c r="AW19" s="6">
        <f t="shared" si="18"/>
        <v>562</v>
      </c>
      <c r="AX19" s="6">
        <v>1000</v>
      </c>
      <c r="AY19" s="6">
        <v>0</v>
      </c>
      <c r="AZ19" s="6">
        <v>1500</v>
      </c>
      <c r="BA19" s="6">
        <v>0</v>
      </c>
      <c r="BB19" s="21">
        <f t="shared" si="19"/>
        <v>112529</v>
      </c>
      <c r="BC19" s="6">
        <f t="shared" si="20"/>
        <v>-63</v>
      </c>
      <c r="BD19" s="6">
        <f t="shared" si="21"/>
        <v>563</v>
      </c>
      <c r="BE19" s="6">
        <v>1000</v>
      </c>
      <c r="BF19" s="6">
        <v>0</v>
      </c>
      <c r="BG19" s="6">
        <v>1500</v>
      </c>
      <c r="BH19" s="6"/>
      <c r="BI19" s="21">
        <f t="shared" si="22"/>
        <v>112592</v>
      </c>
      <c r="BJ19" s="6">
        <f t="shared" si="23"/>
        <v>-63</v>
      </c>
      <c r="BK19" s="6">
        <f t="shared" si="24"/>
        <v>563</v>
      </c>
      <c r="BL19" s="6">
        <v>1000</v>
      </c>
      <c r="BM19" s="6">
        <v>0</v>
      </c>
      <c r="BN19" s="6">
        <v>1500</v>
      </c>
      <c r="BO19" s="6"/>
      <c r="BP19" s="21">
        <f t="shared" si="25"/>
        <v>112655</v>
      </c>
      <c r="BQ19" s="6">
        <f t="shared" si="26"/>
        <v>437</v>
      </c>
      <c r="BR19" s="6">
        <f t="shared" si="27"/>
        <v>563</v>
      </c>
      <c r="BS19" s="6">
        <v>1000</v>
      </c>
      <c r="BT19" s="6">
        <v>0</v>
      </c>
      <c r="BU19" s="6">
        <v>2000</v>
      </c>
      <c r="BV19" s="6"/>
      <c r="BW19" s="21">
        <f t="shared" si="28"/>
        <v>112218</v>
      </c>
      <c r="BX19" s="6">
        <f t="shared" si="29"/>
        <v>-61</v>
      </c>
      <c r="BY19" s="6">
        <f t="shared" si="30"/>
        <v>561</v>
      </c>
      <c r="BZ19" s="6">
        <v>1000</v>
      </c>
      <c r="CA19" s="6">
        <v>0</v>
      </c>
      <c r="CB19" s="6">
        <v>1500</v>
      </c>
      <c r="CC19" s="6"/>
      <c r="CD19" s="21">
        <f t="shared" si="31"/>
        <v>112279</v>
      </c>
      <c r="CE19" s="6">
        <f t="shared" si="32"/>
        <v>-61</v>
      </c>
      <c r="CF19" s="6">
        <f t="shared" si="33"/>
        <v>561</v>
      </c>
      <c r="CG19" s="6">
        <v>1000</v>
      </c>
      <c r="CH19" s="6">
        <v>0</v>
      </c>
      <c r="CI19" s="6">
        <v>1500</v>
      </c>
      <c r="CJ19" s="6">
        <v>3262</v>
      </c>
      <c r="CK19" s="5" t="s">
        <v>36</v>
      </c>
      <c r="CL19" s="14">
        <f t="shared" si="34"/>
        <v>115602</v>
      </c>
      <c r="CM19" s="14">
        <v>109560</v>
      </c>
      <c r="CN19" s="14">
        <v>0</v>
      </c>
      <c r="CO19" s="14">
        <v>10000</v>
      </c>
      <c r="CP19" s="14">
        <f>'2018'!CS19</f>
        <v>44800</v>
      </c>
      <c r="CQ19" s="14">
        <f t="shared" si="38"/>
        <v>56800</v>
      </c>
      <c r="CR19" s="14"/>
      <c r="CS19" s="3">
        <f t="shared" si="37"/>
        <v>2397</v>
      </c>
      <c r="CU19" s="41">
        <f t="shared" si="36"/>
        <v>59197</v>
      </c>
      <c r="CV19" s="14">
        <v>4381</v>
      </c>
      <c r="CW19" s="14">
        <v>6728</v>
      </c>
      <c r="CX19" s="14">
        <v>10109</v>
      </c>
      <c r="CY19" s="14">
        <v>115340</v>
      </c>
      <c r="CZ19" s="14">
        <v>12000</v>
      </c>
    </row>
    <row r="20" spans="1:104">
      <c r="A20" s="5">
        <v>18</v>
      </c>
      <c r="B20" s="5" t="s">
        <v>38</v>
      </c>
      <c r="C20" s="7">
        <f>'2018'!CL21</f>
        <v>0</v>
      </c>
      <c r="D20" s="6">
        <f t="shared" si="0"/>
        <v>0</v>
      </c>
      <c r="E20" s="6">
        <f t="shared" si="1"/>
        <v>0</v>
      </c>
      <c r="F20" s="6">
        <v>500</v>
      </c>
      <c r="G20" s="6">
        <v>1000</v>
      </c>
      <c r="H20" s="6">
        <v>1500</v>
      </c>
      <c r="I20" s="6"/>
      <c r="J20" s="21">
        <f t="shared" si="2"/>
        <v>0</v>
      </c>
      <c r="K20" s="6">
        <f t="shared" si="3"/>
        <v>0</v>
      </c>
      <c r="L20" s="6">
        <f t="shared" si="35"/>
        <v>0</v>
      </c>
      <c r="M20" s="6">
        <v>500</v>
      </c>
      <c r="N20" s="6">
        <v>1000</v>
      </c>
      <c r="O20" s="6">
        <v>1500</v>
      </c>
      <c r="P20" s="6"/>
      <c r="Q20" s="21">
        <f t="shared" si="4"/>
        <v>0</v>
      </c>
      <c r="R20" s="6">
        <f t="shared" si="5"/>
        <v>0</v>
      </c>
      <c r="S20" s="6">
        <f t="shared" si="6"/>
        <v>0</v>
      </c>
      <c r="T20" s="6">
        <v>500</v>
      </c>
      <c r="U20" s="6">
        <v>1000</v>
      </c>
      <c r="V20" s="6">
        <v>1500</v>
      </c>
      <c r="W20" s="6"/>
      <c r="X20" s="21">
        <f t="shared" si="7"/>
        <v>0</v>
      </c>
      <c r="Y20" s="6">
        <f t="shared" si="8"/>
        <v>0</v>
      </c>
      <c r="Z20" s="6">
        <f t="shared" si="9"/>
        <v>0</v>
      </c>
      <c r="AA20" s="6">
        <v>500</v>
      </c>
      <c r="AB20" s="6">
        <v>1000</v>
      </c>
      <c r="AC20" s="6">
        <v>1500</v>
      </c>
      <c r="AD20" s="6"/>
      <c r="AE20" s="21">
        <f t="shared" si="10"/>
        <v>0</v>
      </c>
      <c r="AF20" s="6">
        <f t="shared" si="11"/>
        <v>0</v>
      </c>
      <c r="AG20" s="6">
        <f t="shared" si="12"/>
        <v>0</v>
      </c>
      <c r="AH20" s="6">
        <v>500</v>
      </c>
      <c r="AI20" s="6">
        <v>1000</v>
      </c>
      <c r="AJ20" s="6">
        <v>1500</v>
      </c>
      <c r="AK20" s="6"/>
      <c r="AL20" s="21">
        <f t="shared" si="13"/>
        <v>0</v>
      </c>
      <c r="AM20" s="6">
        <f t="shared" si="14"/>
        <v>0</v>
      </c>
      <c r="AN20" s="6">
        <f t="shared" si="15"/>
        <v>0</v>
      </c>
      <c r="AO20" s="6">
        <v>500</v>
      </c>
      <c r="AP20" s="6">
        <v>0</v>
      </c>
      <c r="AQ20" s="6">
        <v>500</v>
      </c>
      <c r="AR20" s="6">
        <v>0</v>
      </c>
      <c r="AS20" s="6"/>
      <c r="AU20" s="21">
        <f t="shared" si="16"/>
        <v>0</v>
      </c>
      <c r="AV20" s="6">
        <f t="shared" si="17"/>
        <v>0</v>
      </c>
      <c r="AW20" s="6">
        <f t="shared" si="18"/>
        <v>0</v>
      </c>
      <c r="AX20" s="6">
        <v>500</v>
      </c>
      <c r="AY20" s="6">
        <v>0</v>
      </c>
      <c r="AZ20" s="6">
        <v>500</v>
      </c>
      <c r="BA20" s="6">
        <v>0</v>
      </c>
      <c r="BB20" s="21">
        <f t="shared" si="19"/>
        <v>0</v>
      </c>
      <c r="BC20" s="6">
        <f t="shared" si="20"/>
        <v>0</v>
      </c>
      <c r="BD20" s="6">
        <f t="shared" si="21"/>
        <v>0</v>
      </c>
      <c r="BE20" s="6">
        <v>500</v>
      </c>
      <c r="BF20" s="6">
        <v>1000</v>
      </c>
      <c r="BG20" s="6">
        <v>1500</v>
      </c>
      <c r="BH20" s="6">
        <v>20000</v>
      </c>
      <c r="BI20" s="21">
        <f t="shared" si="22"/>
        <v>20000</v>
      </c>
      <c r="BJ20" s="6">
        <f t="shared" si="23"/>
        <v>900</v>
      </c>
      <c r="BK20" s="6">
        <f t="shared" si="24"/>
        <v>100</v>
      </c>
      <c r="BL20" s="6">
        <v>500</v>
      </c>
      <c r="BM20" s="6">
        <v>1000</v>
      </c>
      <c r="BN20" s="6">
        <v>2500</v>
      </c>
      <c r="BO20" s="6"/>
      <c r="BP20" s="21">
        <f t="shared" si="25"/>
        <v>19100</v>
      </c>
      <c r="BQ20" s="6">
        <f t="shared" si="26"/>
        <v>904</v>
      </c>
      <c r="BR20" s="6">
        <f t="shared" si="27"/>
        <v>96</v>
      </c>
      <c r="BS20" s="6">
        <v>500</v>
      </c>
      <c r="BT20" s="6">
        <v>1000</v>
      </c>
      <c r="BU20" s="6">
        <v>2500</v>
      </c>
      <c r="BV20" s="6"/>
      <c r="BW20" s="21">
        <f t="shared" si="28"/>
        <v>18196</v>
      </c>
      <c r="BX20" s="6">
        <f t="shared" si="29"/>
        <v>909</v>
      </c>
      <c r="BY20" s="6">
        <f t="shared" si="30"/>
        <v>91</v>
      </c>
      <c r="BZ20" s="6">
        <v>500</v>
      </c>
      <c r="CA20" s="6">
        <v>1000</v>
      </c>
      <c r="CB20" s="6">
        <v>2500</v>
      </c>
      <c r="CC20" s="6"/>
      <c r="CD20" s="21">
        <f t="shared" si="31"/>
        <v>17287</v>
      </c>
      <c r="CE20" s="6">
        <f t="shared" si="32"/>
        <v>914</v>
      </c>
      <c r="CF20" s="6">
        <f t="shared" si="33"/>
        <v>86</v>
      </c>
      <c r="CG20" s="6">
        <v>500</v>
      </c>
      <c r="CH20" s="6">
        <v>1000</v>
      </c>
      <c r="CI20" s="6">
        <v>2500</v>
      </c>
      <c r="CJ20" s="6">
        <v>5000</v>
      </c>
      <c r="CK20" s="5" t="s">
        <v>38</v>
      </c>
      <c r="CL20" s="14">
        <f t="shared" si="34"/>
        <v>21373</v>
      </c>
      <c r="CM20" s="14">
        <v>0</v>
      </c>
      <c r="CN20" s="14">
        <v>5000</v>
      </c>
      <c r="CO20" s="14">
        <v>5000</v>
      </c>
      <c r="CP20" s="14">
        <f>'2018'!CS21</f>
        <v>41233</v>
      </c>
      <c r="CQ20" s="14">
        <f t="shared" si="38"/>
        <v>47233</v>
      </c>
      <c r="CR20" s="14"/>
      <c r="CS20" s="3">
        <f t="shared" si="37"/>
        <v>1994</v>
      </c>
      <c r="CU20" s="41">
        <f t="shared" si="36"/>
        <v>49227</v>
      </c>
      <c r="CV20" s="14">
        <v>3627</v>
      </c>
      <c r="CW20" s="14">
        <v>373</v>
      </c>
      <c r="CX20" s="14">
        <v>25000</v>
      </c>
      <c r="CY20" s="14">
        <v>21373</v>
      </c>
      <c r="CZ20" s="14">
        <v>6000</v>
      </c>
    </row>
    <row r="21" spans="1:104">
      <c r="A21" s="5">
        <v>19</v>
      </c>
      <c r="B21" s="5" t="s">
        <v>71</v>
      </c>
      <c r="C21" s="7">
        <f>'2018'!CL22</f>
        <v>63517</v>
      </c>
      <c r="D21" s="6">
        <f t="shared" si="0"/>
        <v>0</v>
      </c>
      <c r="E21" s="6">
        <f t="shared" si="1"/>
        <v>318</v>
      </c>
      <c r="F21" s="6">
        <v>500</v>
      </c>
      <c r="G21" s="6">
        <v>1000</v>
      </c>
      <c r="H21" s="6">
        <v>1818</v>
      </c>
      <c r="I21" s="6">
        <v>1818</v>
      </c>
      <c r="J21" s="21">
        <f t="shared" si="2"/>
        <v>65335</v>
      </c>
      <c r="K21" s="6">
        <f t="shared" si="3"/>
        <v>173</v>
      </c>
      <c r="L21" s="6">
        <f t="shared" si="35"/>
        <v>327</v>
      </c>
      <c r="M21" s="6">
        <v>500</v>
      </c>
      <c r="N21" s="6">
        <v>1000</v>
      </c>
      <c r="O21" s="6">
        <v>2000</v>
      </c>
      <c r="P21" s="6"/>
      <c r="Q21" s="21">
        <f t="shared" si="4"/>
        <v>65162</v>
      </c>
      <c r="R21" s="6">
        <f t="shared" si="5"/>
        <v>11174</v>
      </c>
      <c r="S21" s="6">
        <f t="shared" si="6"/>
        <v>326</v>
      </c>
      <c r="T21" s="6">
        <v>500</v>
      </c>
      <c r="U21" s="6">
        <v>1000</v>
      </c>
      <c r="V21" s="6">
        <v>13000</v>
      </c>
      <c r="W21" s="6"/>
      <c r="X21" s="21">
        <f t="shared" si="7"/>
        <v>53988</v>
      </c>
      <c r="Y21" s="6">
        <f t="shared" si="8"/>
        <v>3230</v>
      </c>
      <c r="Z21" s="6">
        <f t="shared" si="9"/>
        <v>270</v>
      </c>
      <c r="AA21" s="6">
        <v>500</v>
      </c>
      <c r="AB21" s="6">
        <v>1000</v>
      </c>
      <c r="AC21" s="6">
        <v>5000</v>
      </c>
      <c r="AD21" s="6"/>
      <c r="AE21" s="21">
        <f t="shared" si="10"/>
        <v>50758</v>
      </c>
      <c r="AF21" s="6">
        <f t="shared" si="11"/>
        <v>1246</v>
      </c>
      <c r="AG21" s="6">
        <f t="shared" si="12"/>
        <v>254</v>
      </c>
      <c r="AH21" s="6">
        <v>500</v>
      </c>
      <c r="AI21" s="6">
        <v>1000</v>
      </c>
      <c r="AJ21" s="6">
        <v>3000</v>
      </c>
      <c r="AK21" s="6"/>
      <c r="AL21" s="21">
        <f t="shared" si="13"/>
        <v>49512</v>
      </c>
      <c r="AM21" s="6">
        <f t="shared" si="14"/>
        <v>252</v>
      </c>
      <c r="AN21" s="6">
        <f t="shared" si="15"/>
        <v>248</v>
      </c>
      <c r="AO21" s="6">
        <v>500</v>
      </c>
      <c r="AP21" s="6">
        <v>0</v>
      </c>
      <c r="AQ21" s="6">
        <v>1000</v>
      </c>
      <c r="AR21" s="6">
        <v>10000</v>
      </c>
      <c r="AS21" s="6">
        <v>25000</v>
      </c>
      <c r="AU21" s="21">
        <f t="shared" si="16"/>
        <v>74260</v>
      </c>
      <c r="AV21" s="6">
        <f t="shared" si="17"/>
        <v>11129</v>
      </c>
      <c r="AW21" s="6">
        <f t="shared" si="18"/>
        <v>371</v>
      </c>
      <c r="AX21" s="6">
        <v>500</v>
      </c>
      <c r="AY21" s="6">
        <v>0</v>
      </c>
      <c r="AZ21" s="6">
        <v>12000</v>
      </c>
      <c r="BA21" s="6">
        <v>30000</v>
      </c>
      <c r="BB21" s="21">
        <f t="shared" si="19"/>
        <v>93131</v>
      </c>
      <c r="BC21" s="6">
        <f t="shared" si="20"/>
        <v>34</v>
      </c>
      <c r="BD21" s="6">
        <f t="shared" si="21"/>
        <v>466</v>
      </c>
      <c r="BE21" s="6">
        <v>500</v>
      </c>
      <c r="BF21" s="6">
        <v>1000</v>
      </c>
      <c r="BG21" s="6">
        <v>2000</v>
      </c>
      <c r="BH21" s="6"/>
      <c r="BI21" s="21">
        <f t="shared" si="22"/>
        <v>93097</v>
      </c>
      <c r="BJ21" s="6">
        <f t="shared" si="23"/>
        <v>1</v>
      </c>
      <c r="BK21" s="6">
        <f t="shared" si="24"/>
        <v>465</v>
      </c>
      <c r="BL21" s="6">
        <v>500</v>
      </c>
      <c r="BM21" s="6">
        <v>1000</v>
      </c>
      <c r="BN21" s="6">
        <v>1966</v>
      </c>
      <c r="BO21" s="6">
        <v>9966</v>
      </c>
      <c r="BP21" s="21">
        <f t="shared" si="25"/>
        <v>103062</v>
      </c>
      <c r="BQ21" s="6">
        <f t="shared" si="26"/>
        <v>35</v>
      </c>
      <c r="BR21" s="6">
        <f t="shared" si="27"/>
        <v>515</v>
      </c>
      <c r="BS21" s="6">
        <v>500</v>
      </c>
      <c r="BT21" s="6">
        <v>1000</v>
      </c>
      <c r="BU21" s="6">
        <v>2050</v>
      </c>
      <c r="BV21" s="6"/>
      <c r="BW21" s="21">
        <f t="shared" si="28"/>
        <v>103027</v>
      </c>
      <c r="BX21" s="6">
        <f t="shared" si="29"/>
        <v>35</v>
      </c>
      <c r="BY21" s="6">
        <f t="shared" si="30"/>
        <v>515</v>
      </c>
      <c r="BZ21" s="6">
        <v>500</v>
      </c>
      <c r="CA21" s="6">
        <v>1000</v>
      </c>
      <c r="CB21" s="6">
        <v>2050</v>
      </c>
      <c r="CC21" s="6"/>
      <c r="CD21" s="21">
        <f t="shared" si="31"/>
        <v>102992</v>
      </c>
      <c r="CE21" s="6">
        <f t="shared" si="32"/>
        <v>485</v>
      </c>
      <c r="CF21" s="6">
        <f t="shared" si="33"/>
        <v>515</v>
      </c>
      <c r="CG21" s="6">
        <v>500</v>
      </c>
      <c r="CH21" s="6">
        <v>1000</v>
      </c>
      <c r="CI21" s="6">
        <v>2500</v>
      </c>
      <c r="CJ21" s="6">
        <v>211</v>
      </c>
      <c r="CK21" s="5" t="s">
        <v>71</v>
      </c>
      <c r="CL21" s="14">
        <f t="shared" si="34"/>
        <v>102718</v>
      </c>
      <c r="CM21" s="14">
        <v>63465</v>
      </c>
      <c r="CN21" s="14">
        <v>5000</v>
      </c>
      <c r="CO21" s="14">
        <v>5000</v>
      </c>
      <c r="CP21" s="14">
        <f>'2018'!CS22</f>
        <v>12542</v>
      </c>
      <c r="CQ21" s="14">
        <f t="shared" si="38"/>
        <v>18542</v>
      </c>
      <c r="CR21" s="14"/>
      <c r="CS21" s="3">
        <f t="shared" si="37"/>
        <v>783</v>
      </c>
      <c r="CU21" s="41">
        <f t="shared" si="36"/>
        <v>19325</v>
      </c>
      <c r="CV21" s="14">
        <v>27740</v>
      </c>
      <c r="CW21" s="14">
        <v>4643</v>
      </c>
      <c r="CX21" s="14">
        <v>66783</v>
      </c>
      <c r="CY21" s="14">
        <v>102598</v>
      </c>
      <c r="CZ21" s="14">
        <v>6000</v>
      </c>
    </row>
    <row r="22" spans="1:104">
      <c r="A22" s="5">
        <v>20</v>
      </c>
      <c r="B22" s="5" t="s">
        <v>40</v>
      </c>
      <c r="C22" s="7">
        <f>'2018'!CL23</f>
        <v>53431</v>
      </c>
      <c r="D22" s="6">
        <f t="shared" si="0"/>
        <v>-67</v>
      </c>
      <c r="E22" s="6">
        <f t="shared" si="1"/>
        <v>267</v>
      </c>
      <c r="F22" s="6">
        <v>500</v>
      </c>
      <c r="G22" s="34">
        <v>0</v>
      </c>
      <c r="H22" s="6">
        <v>700</v>
      </c>
      <c r="I22" s="6"/>
      <c r="J22" s="21">
        <f t="shared" si="2"/>
        <v>53498</v>
      </c>
      <c r="K22" s="6"/>
      <c r="L22" s="6">
        <f t="shared" si="35"/>
        <v>267</v>
      </c>
      <c r="M22" s="6">
        <v>500</v>
      </c>
      <c r="N22" s="34">
        <v>0</v>
      </c>
      <c r="O22" s="6">
        <v>2000</v>
      </c>
      <c r="P22" s="6">
        <v>0</v>
      </c>
      <c r="Q22" s="21">
        <f t="shared" si="4"/>
        <v>53498</v>
      </c>
      <c r="R22" s="6"/>
      <c r="S22" s="6">
        <f t="shared" si="6"/>
        <v>267</v>
      </c>
      <c r="T22" s="6">
        <v>500</v>
      </c>
      <c r="U22" s="6">
        <v>0</v>
      </c>
      <c r="V22" s="6">
        <v>815</v>
      </c>
      <c r="W22" s="6">
        <v>815</v>
      </c>
      <c r="X22" s="21">
        <f t="shared" si="7"/>
        <v>54313</v>
      </c>
      <c r="Y22" s="6"/>
      <c r="Z22" s="6">
        <f t="shared" si="9"/>
        <v>272</v>
      </c>
      <c r="AA22" s="6">
        <v>500</v>
      </c>
      <c r="AB22" s="6">
        <v>0</v>
      </c>
      <c r="AC22" s="6">
        <v>2000</v>
      </c>
      <c r="AD22" s="6"/>
      <c r="AE22" s="21">
        <f t="shared" si="10"/>
        <v>54313</v>
      </c>
      <c r="AF22" s="6"/>
      <c r="AG22" s="6">
        <f t="shared" si="12"/>
        <v>272</v>
      </c>
      <c r="AH22" s="6">
        <v>500</v>
      </c>
      <c r="AI22" s="6">
        <v>0</v>
      </c>
      <c r="AJ22" s="6">
        <v>2000</v>
      </c>
      <c r="AK22" s="6"/>
      <c r="AL22" s="21">
        <f t="shared" si="13"/>
        <v>54313</v>
      </c>
      <c r="AM22" s="6"/>
      <c r="AN22" s="6">
        <f t="shared" si="15"/>
        <v>272</v>
      </c>
      <c r="AO22" s="6">
        <v>500</v>
      </c>
      <c r="AP22" s="6">
        <v>0</v>
      </c>
      <c r="AQ22" s="6">
        <v>808</v>
      </c>
      <c r="AR22" s="6">
        <v>0</v>
      </c>
      <c r="AS22" s="6">
        <v>808</v>
      </c>
      <c r="AU22" s="21">
        <f t="shared" si="16"/>
        <v>55121</v>
      </c>
      <c r="AV22" s="6"/>
      <c r="AW22" s="6">
        <f t="shared" si="18"/>
        <v>276</v>
      </c>
      <c r="AX22" s="6">
        <v>500</v>
      </c>
      <c r="AY22" s="6">
        <v>0</v>
      </c>
      <c r="AZ22" s="6">
        <v>2000</v>
      </c>
      <c r="BA22" s="6">
        <v>0</v>
      </c>
      <c r="BB22" s="21">
        <f t="shared" si="19"/>
        <v>55121</v>
      </c>
      <c r="BC22" s="6"/>
      <c r="BD22" s="6">
        <f t="shared" si="21"/>
        <v>276</v>
      </c>
      <c r="BE22" s="6">
        <v>500</v>
      </c>
      <c r="BF22" s="6">
        <v>0</v>
      </c>
      <c r="BG22" s="6">
        <v>500</v>
      </c>
      <c r="BH22" s="6">
        <v>0</v>
      </c>
      <c r="BI22" s="21">
        <f t="shared" si="22"/>
        <v>55121</v>
      </c>
      <c r="BJ22" s="6"/>
      <c r="BK22" s="6">
        <f t="shared" si="24"/>
        <v>276</v>
      </c>
      <c r="BL22" s="6">
        <v>500</v>
      </c>
      <c r="BM22" s="5">
        <v>0</v>
      </c>
      <c r="BN22" s="6">
        <v>807</v>
      </c>
      <c r="BO22" s="6">
        <v>807</v>
      </c>
      <c r="BP22" s="21">
        <f t="shared" si="25"/>
        <v>55928</v>
      </c>
      <c r="BQ22" s="6"/>
      <c r="BR22" s="6">
        <f t="shared" si="27"/>
        <v>280</v>
      </c>
      <c r="BS22" s="6">
        <v>500</v>
      </c>
      <c r="BT22" s="5">
        <v>0</v>
      </c>
      <c r="BU22" s="5">
        <v>811</v>
      </c>
      <c r="BV22" s="6">
        <v>811</v>
      </c>
      <c r="BW22" s="21">
        <f t="shared" si="28"/>
        <v>56739</v>
      </c>
      <c r="BX22" s="6"/>
      <c r="BY22" s="6">
        <f t="shared" si="30"/>
        <v>284</v>
      </c>
      <c r="BZ22" s="6">
        <v>500</v>
      </c>
      <c r="CA22" s="5">
        <v>0</v>
      </c>
      <c r="CB22" s="6">
        <v>815</v>
      </c>
      <c r="CC22" s="6">
        <v>815</v>
      </c>
      <c r="CD22" s="21">
        <f t="shared" si="31"/>
        <v>57554</v>
      </c>
      <c r="CE22" s="6"/>
      <c r="CF22" s="6">
        <f t="shared" si="33"/>
        <v>288</v>
      </c>
      <c r="CG22" s="6">
        <v>500</v>
      </c>
      <c r="CH22" s="5">
        <v>0</v>
      </c>
      <c r="CI22" s="6">
        <v>819</v>
      </c>
      <c r="CJ22" s="6">
        <v>819</v>
      </c>
      <c r="CK22" s="5" t="s">
        <v>40</v>
      </c>
      <c r="CL22" s="14">
        <f t="shared" si="34"/>
        <v>58373</v>
      </c>
      <c r="CM22" s="14"/>
      <c r="CN22" s="14"/>
      <c r="CO22" s="14"/>
      <c r="CP22" s="14">
        <f>'2018'!CS23</f>
        <v>12542</v>
      </c>
      <c r="CQ22" s="14">
        <f t="shared" si="38"/>
        <v>18542</v>
      </c>
      <c r="CR22" s="14"/>
      <c r="CS22" s="3">
        <f t="shared" si="37"/>
        <v>783</v>
      </c>
      <c r="CU22" s="41">
        <f t="shared" si="36"/>
        <v>19325</v>
      </c>
      <c r="CV22" s="14"/>
      <c r="CW22" s="14"/>
      <c r="CX22" s="14"/>
      <c r="CY22" s="14"/>
      <c r="CZ22" s="14"/>
    </row>
    <row r="23" spans="1:104">
      <c r="A23" s="5">
        <v>21</v>
      </c>
      <c r="B23" s="35" t="s">
        <v>78</v>
      </c>
      <c r="C23" s="7">
        <f>'2018'!CL24</f>
        <v>0</v>
      </c>
      <c r="D23" s="6">
        <f t="shared" si="0"/>
        <v>0</v>
      </c>
      <c r="E23" s="6">
        <f t="shared" si="1"/>
        <v>0</v>
      </c>
      <c r="F23" s="6">
        <v>500</v>
      </c>
      <c r="G23" s="6">
        <v>0</v>
      </c>
      <c r="H23" s="6">
        <v>500</v>
      </c>
      <c r="I23" s="6"/>
      <c r="J23" s="21">
        <f t="shared" si="2"/>
        <v>0</v>
      </c>
      <c r="K23" s="6">
        <f t="shared" si="3"/>
        <v>0</v>
      </c>
      <c r="L23" s="6">
        <f t="shared" si="35"/>
        <v>0</v>
      </c>
      <c r="M23" s="6">
        <v>500</v>
      </c>
      <c r="N23" s="6">
        <v>0</v>
      </c>
      <c r="O23" s="6">
        <v>500</v>
      </c>
      <c r="P23" s="6"/>
      <c r="Q23" s="21">
        <f t="shared" si="4"/>
        <v>0</v>
      </c>
      <c r="R23" s="6">
        <f t="shared" si="5"/>
        <v>0</v>
      </c>
      <c r="S23" s="6">
        <f t="shared" si="6"/>
        <v>0</v>
      </c>
      <c r="T23" s="6">
        <v>500</v>
      </c>
      <c r="U23" s="6">
        <v>0</v>
      </c>
      <c r="V23" s="6">
        <v>500</v>
      </c>
      <c r="W23" s="6"/>
      <c r="X23" s="21">
        <f t="shared" si="7"/>
        <v>0</v>
      </c>
      <c r="Y23" s="6">
        <f t="shared" si="8"/>
        <v>0</v>
      </c>
      <c r="Z23" s="6">
        <f t="shared" si="9"/>
        <v>0</v>
      </c>
      <c r="AA23" s="6">
        <v>500</v>
      </c>
      <c r="AB23" s="6">
        <v>0</v>
      </c>
      <c r="AC23" s="6">
        <v>500</v>
      </c>
      <c r="AD23" s="6">
        <v>0</v>
      </c>
      <c r="AE23" s="21">
        <f t="shared" si="10"/>
        <v>0</v>
      </c>
      <c r="AF23" s="6">
        <f t="shared" si="11"/>
        <v>0</v>
      </c>
      <c r="AG23" s="6">
        <f t="shared" si="12"/>
        <v>0</v>
      </c>
      <c r="AH23" s="6">
        <v>500</v>
      </c>
      <c r="AI23" s="6">
        <v>0</v>
      </c>
      <c r="AJ23" s="6">
        <v>500</v>
      </c>
      <c r="AK23" s="6"/>
      <c r="AL23" s="21">
        <f t="shared" si="13"/>
        <v>0</v>
      </c>
      <c r="AM23" s="6">
        <f t="shared" si="14"/>
        <v>0</v>
      </c>
      <c r="AN23" s="6">
        <f t="shared" si="15"/>
        <v>0</v>
      </c>
      <c r="AO23" s="6">
        <v>500</v>
      </c>
      <c r="AP23" s="6">
        <v>0</v>
      </c>
      <c r="AQ23" s="6">
        <v>500</v>
      </c>
      <c r="AR23" s="6"/>
      <c r="AS23" s="6">
        <v>0</v>
      </c>
      <c r="AU23" s="21">
        <f t="shared" si="16"/>
        <v>0</v>
      </c>
      <c r="AV23" s="6">
        <f t="shared" si="17"/>
        <v>0</v>
      </c>
      <c r="AW23" s="6">
        <f t="shared" si="18"/>
        <v>0</v>
      </c>
      <c r="AX23" s="6">
        <v>500</v>
      </c>
      <c r="AY23" s="6">
        <v>0</v>
      </c>
      <c r="AZ23" s="6">
        <v>500</v>
      </c>
      <c r="BA23" s="6">
        <v>0</v>
      </c>
      <c r="BB23" s="21">
        <f t="shared" si="19"/>
        <v>0</v>
      </c>
      <c r="BC23" s="6">
        <f t="shared" si="20"/>
        <v>0</v>
      </c>
      <c r="BD23" s="6">
        <f t="shared" si="21"/>
        <v>0</v>
      </c>
      <c r="BE23" s="6">
        <v>500</v>
      </c>
      <c r="BF23" s="5">
        <v>0</v>
      </c>
      <c r="BG23" s="6">
        <v>500</v>
      </c>
      <c r="BH23" s="6">
        <v>0</v>
      </c>
      <c r="BI23" s="21">
        <f t="shared" si="22"/>
        <v>0</v>
      </c>
      <c r="BJ23" s="6">
        <f t="shared" si="23"/>
        <v>0</v>
      </c>
      <c r="BK23" s="6">
        <f t="shared" si="24"/>
        <v>0</v>
      </c>
      <c r="BL23" s="6">
        <v>500</v>
      </c>
      <c r="BM23" s="5">
        <v>0</v>
      </c>
      <c r="BN23" s="6">
        <v>500</v>
      </c>
      <c r="BO23" s="5"/>
      <c r="BP23" s="21">
        <f t="shared" si="25"/>
        <v>0</v>
      </c>
      <c r="BQ23" s="6">
        <f t="shared" si="26"/>
        <v>0</v>
      </c>
      <c r="BR23" s="6">
        <f t="shared" si="27"/>
        <v>0</v>
      </c>
      <c r="BS23" s="6">
        <v>500</v>
      </c>
      <c r="BT23" s="5">
        <v>0</v>
      </c>
      <c r="BU23" s="6">
        <v>500</v>
      </c>
      <c r="BV23" s="5"/>
      <c r="BW23" s="21">
        <f t="shared" si="28"/>
        <v>0</v>
      </c>
      <c r="BX23" s="6">
        <f t="shared" si="29"/>
        <v>0</v>
      </c>
      <c r="BY23" s="6">
        <f t="shared" si="30"/>
        <v>0</v>
      </c>
      <c r="BZ23" s="6">
        <v>500</v>
      </c>
      <c r="CA23" s="5">
        <v>0</v>
      </c>
      <c r="CB23" s="5">
        <v>500</v>
      </c>
      <c r="CC23" s="5"/>
      <c r="CD23" s="21">
        <f t="shared" si="31"/>
        <v>0</v>
      </c>
      <c r="CE23" s="6">
        <f t="shared" si="32"/>
        <v>0</v>
      </c>
      <c r="CF23" s="6">
        <f t="shared" si="33"/>
        <v>0</v>
      </c>
      <c r="CG23" s="6">
        <v>500</v>
      </c>
      <c r="CH23" s="5">
        <v>0</v>
      </c>
      <c r="CI23" s="5">
        <v>500</v>
      </c>
      <c r="CJ23" s="5">
        <v>0</v>
      </c>
      <c r="CK23" s="35" t="s">
        <v>78</v>
      </c>
      <c r="CL23" s="14">
        <f t="shared" si="34"/>
        <v>0</v>
      </c>
      <c r="CM23" s="14">
        <v>55373</v>
      </c>
      <c r="CN23" s="14">
        <v>0</v>
      </c>
      <c r="CO23" s="14"/>
      <c r="CP23" s="14">
        <f>'2018'!CS24</f>
        <v>0</v>
      </c>
      <c r="CQ23" s="14">
        <f t="shared" si="38"/>
        <v>6000</v>
      </c>
      <c r="CR23" s="14"/>
      <c r="CS23" s="3">
        <f t="shared" si="37"/>
        <v>253</v>
      </c>
      <c r="CU23" s="41">
        <f t="shared" si="36"/>
        <v>6253</v>
      </c>
      <c r="CV23" s="14">
        <v>4307</v>
      </c>
      <c r="CW23" s="14">
        <v>3768</v>
      </c>
      <c r="CX23" s="14">
        <v>4875</v>
      </c>
      <c r="CY23" s="14">
        <v>64704</v>
      </c>
      <c r="CZ23" s="14">
        <v>6000</v>
      </c>
    </row>
    <row r="24" spans="1:104">
      <c r="A24" s="5">
        <v>22</v>
      </c>
      <c r="B24" s="5" t="s">
        <v>79</v>
      </c>
      <c r="C24" s="7">
        <f>'2018'!CL20</f>
        <v>10000</v>
      </c>
      <c r="D24" s="6">
        <f t="shared" si="0"/>
        <v>10000</v>
      </c>
      <c r="E24" s="6">
        <v>0</v>
      </c>
      <c r="F24" s="6"/>
      <c r="G24" s="6"/>
      <c r="H24" s="6">
        <v>10000</v>
      </c>
      <c r="I24" s="21"/>
      <c r="J24" s="21">
        <f>C24-D24+I24</f>
        <v>0</v>
      </c>
      <c r="K24" s="6">
        <f t="shared" si="3"/>
        <v>0</v>
      </c>
      <c r="L24" s="6">
        <f>MROUND(((J24*1)/100),1)</f>
        <v>0</v>
      </c>
      <c r="M24" s="6"/>
      <c r="N24" s="6"/>
      <c r="O24" s="6">
        <v>0</v>
      </c>
      <c r="P24" s="6"/>
      <c r="Q24" s="21">
        <f t="shared" si="4"/>
        <v>0</v>
      </c>
      <c r="R24" s="6">
        <f t="shared" si="5"/>
        <v>0</v>
      </c>
      <c r="S24" s="6">
        <f t="shared" si="6"/>
        <v>0</v>
      </c>
      <c r="T24" s="6">
        <v>0</v>
      </c>
      <c r="U24" s="6">
        <v>0</v>
      </c>
      <c r="V24" s="6">
        <v>0</v>
      </c>
      <c r="W24" s="6"/>
      <c r="X24" s="21">
        <f t="shared" si="7"/>
        <v>0</v>
      </c>
      <c r="Y24" s="6">
        <f t="shared" si="8"/>
        <v>0</v>
      </c>
      <c r="Z24" s="6">
        <f t="shared" si="9"/>
        <v>0</v>
      </c>
      <c r="AA24" s="6"/>
      <c r="AB24" s="6">
        <v>0</v>
      </c>
      <c r="AC24" s="6"/>
      <c r="AD24" s="6"/>
      <c r="AE24" s="21">
        <f t="shared" si="10"/>
        <v>0</v>
      </c>
      <c r="AF24" s="6">
        <f t="shared" si="11"/>
        <v>0</v>
      </c>
      <c r="AG24" s="6">
        <f t="shared" si="12"/>
        <v>0</v>
      </c>
      <c r="AH24" s="5"/>
      <c r="AI24" s="6">
        <v>0</v>
      </c>
      <c r="AJ24" s="5"/>
      <c r="AK24" s="5"/>
      <c r="AL24" s="21">
        <f t="shared" si="13"/>
        <v>0</v>
      </c>
      <c r="AM24" s="6">
        <f t="shared" si="14"/>
        <v>0</v>
      </c>
      <c r="AN24" s="6">
        <f t="shared" si="15"/>
        <v>0</v>
      </c>
      <c r="AO24" s="5"/>
      <c r="AP24" s="5"/>
      <c r="AQ24" s="5"/>
      <c r="AR24" s="5"/>
      <c r="AS24" s="5">
        <v>0</v>
      </c>
      <c r="AU24" s="21">
        <f t="shared" si="16"/>
        <v>0</v>
      </c>
      <c r="AV24" s="6">
        <f t="shared" si="17"/>
        <v>0</v>
      </c>
      <c r="AW24" s="6">
        <f>MROUND(((AU24*1)/100),1)</f>
        <v>0</v>
      </c>
      <c r="AX24" s="5"/>
      <c r="AY24" s="5"/>
      <c r="AZ24" s="5"/>
      <c r="BA24" s="5">
        <v>0</v>
      </c>
      <c r="BB24" s="21">
        <f t="shared" si="19"/>
        <v>0</v>
      </c>
      <c r="BC24" s="6">
        <f t="shared" si="20"/>
        <v>0</v>
      </c>
      <c r="BD24" s="6">
        <v>0</v>
      </c>
      <c r="BE24" s="5"/>
      <c r="BF24" s="5"/>
      <c r="BG24" s="5"/>
      <c r="BH24" s="5">
        <v>0</v>
      </c>
      <c r="BI24" s="21">
        <f t="shared" si="22"/>
        <v>0</v>
      </c>
      <c r="BJ24" s="6">
        <f t="shared" si="23"/>
        <v>0</v>
      </c>
      <c r="BK24" s="6">
        <f>MROUND(((BI24*1)/100),1)</f>
        <v>0</v>
      </c>
      <c r="BL24" s="5"/>
      <c r="BM24" s="5"/>
      <c r="BN24" s="5"/>
      <c r="BO24" s="5">
        <v>0</v>
      </c>
      <c r="BP24" s="21">
        <f t="shared" si="25"/>
        <v>0</v>
      </c>
      <c r="BQ24" s="6">
        <f t="shared" si="26"/>
        <v>0</v>
      </c>
      <c r="BR24" s="6">
        <f>MROUND(((BP24*1)/100),1)</f>
        <v>0</v>
      </c>
      <c r="BS24" s="5"/>
      <c r="BT24" s="5"/>
      <c r="BU24" s="5"/>
      <c r="BV24" s="5">
        <v>0</v>
      </c>
      <c r="BW24" s="21">
        <f t="shared" si="28"/>
        <v>0</v>
      </c>
      <c r="BX24" s="6">
        <f t="shared" si="29"/>
        <v>0</v>
      </c>
      <c r="BY24" s="6">
        <f>MROUND(((BW24*1)/100),1)</f>
        <v>0</v>
      </c>
      <c r="BZ24" s="5"/>
      <c r="CA24" s="5"/>
      <c r="CB24" s="5"/>
      <c r="CC24" s="5">
        <v>0</v>
      </c>
      <c r="CD24" s="21">
        <f t="shared" si="31"/>
        <v>0</v>
      </c>
      <c r="CE24" s="6">
        <f t="shared" si="32"/>
        <v>0</v>
      </c>
      <c r="CF24" s="6">
        <f t="shared" si="33"/>
        <v>0</v>
      </c>
      <c r="CG24" s="5"/>
      <c r="CH24" s="5"/>
      <c r="CI24" s="5"/>
      <c r="CJ24" s="5"/>
      <c r="CK24" s="5" t="s">
        <v>79</v>
      </c>
      <c r="CL24" s="14">
        <f t="shared" si="34"/>
        <v>0</v>
      </c>
      <c r="CM24" s="14">
        <v>0</v>
      </c>
      <c r="CN24" s="14">
        <v>0</v>
      </c>
      <c r="CO24" s="14"/>
      <c r="CP24" s="14">
        <f>'2018'!CS20</f>
        <v>64325</v>
      </c>
      <c r="CQ24" s="14">
        <v>0</v>
      </c>
      <c r="CR24" s="14">
        <f>CP24</f>
        <v>64325</v>
      </c>
      <c r="CS24" s="3">
        <f t="shared" si="37"/>
        <v>0</v>
      </c>
      <c r="CU24" s="41">
        <f t="shared" si="36"/>
        <v>0</v>
      </c>
      <c r="CV24" s="14">
        <v>0</v>
      </c>
      <c r="CW24" s="14">
        <v>0</v>
      </c>
      <c r="CX24" s="14">
        <v>0</v>
      </c>
      <c r="CY24" s="14">
        <v>0</v>
      </c>
      <c r="CZ24" s="14">
        <v>6000</v>
      </c>
    </row>
    <row r="25" spans="1:104">
      <c r="A25" s="5">
        <v>23</v>
      </c>
      <c r="B25" s="5" t="s">
        <v>39</v>
      </c>
      <c r="C25" s="7">
        <f>'2018'!CL25</f>
        <v>0</v>
      </c>
      <c r="D25" s="6">
        <f t="shared" si="0"/>
        <v>0</v>
      </c>
      <c r="E25" s="6">
        <v>0</v>
      </c>
      <c r="F25" s="6"/>
      <c r="G25" s="6"/>
      <c r="H25" s="6">
        <v>0</v>
      </c>
      <c r="I25" s="21"/>
      <c r="J25" s="21">
        <f t="shared" si="2"/>
        <v>0</v>
      </c>
      <c r="K25" s="6">
        <f t="shared" si="3"/>
        <v>0</v>
      </c>
      <c r="L25" s="6">
        <f>MROUND(((J25*1)/100),1)</f>
        <v>0</v>
      </c>
      <c r="M25" s="6"/>
      <c r="N25" s="6"/>
      <c r="O25" s="6">
        <v>0</v>
      </c>
      <c r="P25" s="6"/>
      <c r="Q25" s="21">
        <f t="shared" si="4"/>
        <v>0</v>
      </c>
      <c r="R25" s="6">
        <f t="shared" si="5"/>
        <v>0</v>
      </c>
      <c r="S25" s="6">
        <f>MROUND(((Q25*1)/100),1)</f>
        <v>0</v>
      </c>
      <c r="T25" s="5"/>
      <c r="U25" s="5"/>
      <c r="V25" s="5"/>
      <c r="W25" s="5"/>
      <c r="X25" s="21">
        <f t="shared" si="7"/>
        <v>0</v>
      </c>
      <c r="Y25" s="6">
        <f t="shared" si="8"/>
        <v>0</v>
      </c>
      <c r="Z25" s="6">
        <f>MROUND(((X25*1)/100),1)</f>
        <v>0</v>
      </c>
      <c r="AA25" s="6"/>
      <c r="AB25" s="6">
        <v>0</v>
      </c>
      <c r="AC25" s="6"/>
      <c r="AD25" s="6"/>
      <c r="AE25" s="21">
        <f t="shared" si="10"/>
        <v>0</v>
      </c>
      <c r="AF25" s="6">
        <f t="shared" si="11"/>
        <v>0</v>
      </c>
      <c r="AG25" s="6">
        <f>MROUND(((AE25*1)/100),1)</f>
        <v>0</v>
      </c>
      <c r="AH25" s="5"/>
      <c r="AI25" s="6">
        <v>0</v>
      </c>
      <c r="AJ25" s="5"/>
      <c r="AK25" s="5"/>
      <c r="AL25" s="21">
        <f t="shared" si="13"/>
        <v>0</v>
      </c>
      <c r="AM25" s="6">
        <f t="shared" si="14"/>
        <v>0</v>
      </c>
      <c r="AN25" s="6">
        <f>MROUND(((AL25*1)/100),1)</f>
        <v>0</v>
      </c>
      <c r="AO25" s="5"/>
      <c r="AP25" s="5"/>
      <c r="AQ25" s="5"/>
      <c r="AR25" s="5"/>
      <c r="AS25" s="5">
        <v>0</v>
      </c>
      <c r="AU25" s="21">
        <f t="shared" si="16"/>
        <v>0</v>
      </c>
      <c r="AV25" s="6">
        <f t="shared" si="17"/>
        <v>0</v>
      </c>
      <c r="AW25" s="6">
        <f>MROUND(((AU25*1)/100),1)</f>
        <v>0</v>
      </c>
      <c r="AX25" s="6"/>
      <c r="AY25" s="6"/>
      <c r="AZ25" s="5">
        <v>0</v>
      </c>
      <c r="BA25" s="5">
        <v>0</v>
      </c>
      <c r="BB25" s="21">
        <f t="shared" si="19"/>
        <v>0</v>
      </c>
      <c r="BC25" s="6">
        <f t="shared" si="20"/>
        <v>0</v>
      </c>
      <c r="BD25" s="6">
        <f>MROUND(((BB25*1)/100),1)</f>
        <v>0</v>
      </c>
      <c r="BE25" s="5"/>
      <c r="BF25" s="5"/>
      <c r="BG25" s="5"/>
      <c r="BH25" s="5">
        <v>0</v>
      </c>
      <c r="BI25" s="21">
        <f>BB25-BC25+BH25</f>
        <v>0</v>
      </c>
      <c r="BJ25" s="6">
        <f t="shared" si="23"/>
        <v>0</v>
      </c>
      <c r="BK25" s="6">
        <f>MROUND(((BI25*1)/100),1)</f>
        <v>0</v>
      </c>
      <c r="BL25" s="5"/>
      <c r="BM25" s="5"/>
      <c r="BN25" s="5"/>
      <c r="BO25" s="5">
        <v>0</v>
      </c>
      <c r="BP25" s="21">
        <f t="shared" si="25"/>
        <v>0</v>
      </c>
      <c r="BQ25" s="6">
        <f t="shared" si="26"/>
        <v>0</v>
      </c>
      <c r="BR25" s="6">
        <f>MROUND(((BP25*1)/100),1)</f>
        <v>0</v>
      </c>
      <c r="BS25" s="5"/>
      <c r="BT25" s="5"/>
      <c r="BU25" s="5"/>
      <c r="BV25" s="5">
        <v>0</v>
      </c>
      <c r="BW25" s="21">
        <f t="shared" si="28"/>
        <v>0</v>
      </c>
      <c r="BX25" s="6">
        <f t="shared" si="29"/>
        <v>0</v>
      </c>
      <c r="BY25" s="6">
        <f>MROUND(((BW25*1)/100),1)</f>
        <v>0</v>
      </c>
      <c r="BZ25" s="5"/>
      <c r="CA25" s="5"/>
      <c r="CB25" s="5"/>
      <c r="CC25" s="5">
        <v>0</v>
      </c>
      <c r="CD25" s="21">
        <f t="shared" si="31"/>
        <v>0</v>
      </c>
      <c r="CE25" s="6">
        <f t="shared" si="32"/>
        <v>0</v>
      </c>
      <c r="CF25" s="6">
        <f>MROUND(((CD25*1)/100),1)</f>
        <v>0</v>
      </c>
      <c r="CG25" s="5"/>
      <c r="CH25" s="5"/>
      <c r="CI25" s="5"/>
      <c r="CJ25" s="5"/>
      <c r="CK25" s="5" t="s">
        <v>42</v>
      </c>
      <c r="CL25" s="14">
        <f t="shared" si="34"/>
        <v>0</v>
      </c>
      <c r="CM25" s="14">
        <v>0</v>
      </c>
      <c r="CN25" s="14">
        <v>0</v>
      </c>
      <c r="CO25" s="14"/>
      <c r="CP25" s="14">
        <v>0</v>
      </c>
      <c r="CQ25" s="14">
        <f t="shared" si="38"/>
        <v>0</v>
      </c>
      <c r="CR25" s="14"/>
      <c r="CS25" s="3">
        <f t="shared" si="37"/>
        <v>0</v>
      </c>
      <c r="CU25" s="41">
        <f t="shared" si="36"/>
        <v>0</v>
      </c>
      <c r="CV25" s="14">
        <v>10000</v>
      </c>
      <c r="CW25" s="14">
        <v>0</v>
      </c>
      <c r="CX25" s="14">
        <v>0</v>
      </c>
      <c r="CY25" s="14">
        <v>0</v>
      </c>
      <c r="CZ25" s="14">
        <v>0</v>
      </c>
    </row>
    <row r="26" spans="1:104" ht="18.75">
      <c r="B26" s="5"/>
      <c r="C26" s="7">
        <f>SUM(C3:C25)</f>
        <v>1082045</v>
      </c>
      <c r="D26" s="7">
        <f>SUM(D3:D25)</f>
        <v>47816</v>
      </c>
      <c r="E26" s="8">
        <f>SUM(E3:E25)</f>
        <v>5362</v>
      </c>
      <c r="F26" s="7">
        <f>SUM(F3:F25)</f>
        <v>26500</v>
      </c>
      <c r="G26" s="7">
        <f>SUM(G3:G25)</f>
        <v>13500</v>
      </c>
      <c r="H26" s="9">
        <v>93178</v>
      </c>
      <c r="I26" s="17">
        <f t="shared" ref="I26:N26" si="39">SUM(I3:I25)</f>
        <v>155423</v>
      </c>
      <c r="J26" s="17">
        <f t="shared" si="39"/>
        <v>1189652</v>
      </c>
      <c r="K26" s="18">
        <f t="shared" si="39"/>
        <v>43868</v>
      </c>
      <c r="L26" s="19">
        <f t="shared" si="39"/>
        <v>5949</v>
      </c>
      <c r="M26" s="18">
        <f t="shared" si="39"/>
        <v>26500</v>
      </c>
      <c r="N26" s="18">
        <f t="shared" si="39"/>
        <v>13500</v>
      </c>
      <c r="O26" s="20">
        <v>91050</v>
      </c>
      <c r="P26" s="7">
        <f>SUM(P3:P25)</f>
        <v>12000</v>
      </c>
      <c r="Q26" s="21">
        <v>0</v>
      </c>
      <c r="R26" s="5"/>
      <c r="S26" s="6">
        <f t="shared" ref="S26" si="40">MROUND(((Q26*0.5)/100),1)</f>
        <v>0</v>
      </c>
      <c r="T26" s="5"/>
      <c r="U26" s="5"/>
      <c r="V26" s="5"/>
      <c r="W26" s="5"/>
      <c r="X26" s="21">
        <f t="shared" ref="X26:AO26" si="41">SUM(X3:X25)</f>
        <v>1185921</v>
      </c>
      <c r="Y26" s="6">
        <f t="shared" si="41"/>
        <v>103460</v>
      </c>
      <c r="Z26" s="6">
        <f t="shared" si="41"/>
        <v>5930</v>
      </c>
      <c r="AA26" s="6">
        <f t="shared" si="41"/>
        <v>26500</v>
      </c>
      <c r="AB26" s="6">
        <f t="shared" si="41"/>
        <v>11000</v>
      </c>
      <c r="AC26" s="6">
        <f t="shared" si="41"/>
        <v>148118</v>
      </c>
      <c r="AD26" s="6">
        <f t="shared" si="41"/>
        <v>18118</v>
      </c>
      <c r="AE26" s="21">
        <f t="shared" si="41"/>
        <v>1100579</v>
      </c>
      <c r="AF26" s="6">
        <f t="shared" si="41"/>
        <v>123267</v>
      </c>
      <c r="AG26" s="24">
        <f t="shared" si="41"/>
        <v>5505</v>
      </c>
      <c r="AH26" s="6">
        <f t="shared" si="41"/>
        <v>26000</v>
      </c>
      <c r="AI26" s="24">
        <f t="shared" si="41"/>
        <v>11000</v>
      </c>
      <c r="AJ26" s="25">
        <f t="shared" si="41"/>
        <v>167000</v>
      </c>
      <c r="AK26" s="6">
        <f t="shared" si="41"/>
        <v>50000</v>
      </c>
      <c r="AL26" s="21">
        <f t="shared" si="41"/>
        <v>1027312</v>
      </c>
      <c r="AM26" s="6">
        <f t="shared" si="41"/>
        <v>33738</v>
      </c>
      <c r="AN26" s="24">
        <f t="shared" si="41"/>
        <v>5138</v>
      </c>
      <c r="AO26" s="6">
        <f t="shared" si="41"/>
        <v>26000</v>
      </c>
      <c r="AP26" s="24">
        <v>0</v>
      </c>
      <c r="AQ26" s="25">
        <f>SUM(AQ3:AQ25)</f>
        <v>64912</v>
      </c>
      <c r="AR26" s="6">
        <v>50000</v>
      </c>
      <c r="AS26" s="6">
        <f>SUM(AS3:AS25)</f>
        <v>52357</v>
      </c>
      <c r="AU26" s="27">
        <v>1055883</v>
      </c>
      <c r="AV26" s="14">
        <f>SUM(AV3:AV25)</f>
        <v>68681</v>
      </c>
      <c r="AW26" s="14">
        <f>SUM(AW3:AW25)</f>
        <v>5230</v>
      </c>
      <c r="AX26" s="14">
        <f>SUM(AX3:AX25)</f>
        <v>26000</v>
      </c>
      <c r="AY26" s="14">
        <v>0</v>
      </c>
      <c r="AZ26" s="14">
        <f>SUM(AZ3:BA25)</f>
        <v>163091</v>
      </c>
      <c r="BA26" s="14">
        <f>SUM(BA3:BA25)</f>
        <v>61956</v>
      </c>
      <c r="BB26" s="21">
        <v>1098483</v>
      </c>
      <c r="BC26" s="6">
        <f t="shared" ref="BC26:BM26" si="42">SUM(BC3:BC25)</f>
        <v>21883</v>
      </c>
      <c r="BD26" s="24">
        <f t="shared" si="42"/>
        <v>5197</v>
      </c>
      <c r="BE26" s="6">
        <f t="shared" si="42"/>
        <v>26000</v>
      </c>
      <c r="BF26" s="24">
        <f t="shared" si="42"/>
        <v>10000</v>
      </c>
      <c r="BG26" s="25">
        <f t="shared" si="42"/>
        <v>62804</v>
      </c>
      <c r="BH26" s="6">
        <f t="shared" si="42"/>
        <v>61804</v>
      </c>
      <c r="BI26" s="21">
        <f t="shared" si="42"/>
        <v>1079127</v>
      </c>
      <c r="BJ26" s="6">
        <f t="shared" si="42"/>
        <v>32246</v>
      </c>
      <c r="BK26" s="24">
        <f t="shared" si="42"/>
        <v>5397</v>
      </c>
      <c r="BL26" s="6">
        <f t="shared" si="42"/>
        <v>26099</v>
      </c>
      <c r="BM26" s="24">
        <f t="shared" si="42"/>
        <v>10000</v>
      </c>
      <c r="BN26" s="25">
        <v>73772</v>
      </c>
      <c r="BO26" s="6">
        <f t="shared" ref="BO26:CA26" si="43">SUM(BO3:BO25)</f>
        <v>77773</v>
      </c>
      <c r="BP26" s="21">
        <f t="shared" si="43"/>
        <v>1124654</v>
      </c>
      <c r="BQ26" s="6">
        <f t="shared" si="43"/>
        <v>45433</v>
      </c>
      <c r="BR26" s="24">
        <f t="shared" si="43"/>
        <v>5624</v>
      </c>
      <c r="BS26" s="6">
        <f t="shared" si="43"/>
        <v>22200</v>
      </c>
      <c r="BT26" s="24">
        <f t="shared" si="43"/>
        <v>10000</v>
      </c>
      <c r="BU26" s="25">
        <f t="shared" si="43"/>
        <v>83288</v>
      </c>
      <c r="BV26" s="6">
        <f t="shared" si="43"/>
        <v>15811</v>
      </c>
      <c r="BW26" s="21">
        <f t="shared" si="43"/>
        <v>1095032</v>
      </c>
      <c r="BX26" s="6">
        <f t="shared" si="43"/>
        <v>21538</v>
      </c>
      <c r="BY26" s="24">
        <f t="shared" si="43"/>
        <v>5475</v>
      </c>
      <c r="BZ26" s="6">
        <f t="shared" si="43"/>
        <v>21000</v>
      </c>
      <c r="CA26" s="24">
        <f t="shared" si="43"/>
        <v>10000</v>
      </c>
      <c r="CB26" s="25">
        <v>58044</v>
      </c>
      <c r="CC26" s="6">
        <f t="shared" ref="CC26:CH26" si="44">SUM(CC3:CC25)</f>
        <v>2494</v>
      </c>
      <c r="CD26" s="21">
        <f t="shared" si="44"/>
        <v>1075988</v>
      </c>
      <c r="CE26" s="6">
        <f t="shared" si="44"/>
        <v>14917</v>
      </c>
      <c r="CF26" s="24">
        <f t="shared" si="44"/>
        <v>5380</v>
      </c>
      <c r="CG26" s="6">
        <f t="shared" si="44"/>
        <v>21681</v>
      </c>
      <c r="CH26" s="24">
        <f t="shared" si="44"/>
        <v>10000</v>
      </c>
      <c r="CI26" s="25">
        <v>51396</v>
      </c>
      <c r="CJ26" s="6">
        <f>SUM(CJ3:CJ25)</f>
        <v>69921</v>
      </c>
      <c r="CL26" s="14">
        <f>SUM(CL3:CL25)</f>
        <v>1130992</v>
      </c>
      <c r="CM26" s="14">
        <v>0</v>
      </c>
      <c r="CN26" s="14">
        <v>50000</v>
      </c>
      <c r="CO26" s="14">
        <v>85000</v>
      </c>
      <c r="CP26" s="14">
        <f>SUM(CP3:CP25)</f>
        <v>1321823</v>
      </c>
      <c r="CQ26" s="14">
        <f>SUM(CQ3:CQ25)</f>
        <v>1296239</v>
      </c>
      <c r="CR26" s="14">
        <f>SUM(CR3:CR25)</f>
        <v>325951</v>
      </c>
      <c r="CS26" s="3">
        <f>SUM(CS3:CS25)</f>
        <v>54711</v>
      </c>
      <c r="CU26" s="41">
        <f>SUM(CU3:CU25)</f>
        <v>1612576</v>
      </c>
      <c r="CV26" s="14">
        <v>620098</v>
      </c>
      <c r="CW26" s="14">
        <v>66845</v>
      </c>
      <c r="CX26" s="14">
        <v>658232</v>
      </c>
      <c r="CY26" s="14">
        <v>1133547</v>
      </c>
      <c r="CZ26" s="14">
        <v>300872</v>
      </c>
    </row>
    <row r="27" spans="1:104" ht="18.75">
      <c r="Q27" s="21">
        <f t="shared" ref="Q27:W27" si="45">SUM(Q3:Q26)</f>
        <v>1157784</v>
      </c>
      <c r="R27" s="6">
        <f t="shared" si="45"/>
        <v>54678</v>
      </c>
      <c r="S27" s="24">
        <f t="shared" si="45"/>
        <v>5789</v>
      </c>
      <c r="T27" s="6">
        <f t="shared" si="45"/>
        <v>26500</v>
      </c>
      <c r="U27" s="24">
        <f t="shared" si="45"/>
        <v>11000</v>
      </c>
      <c r="V27" s="25">
        <f t="shared" si="45"/>
        <v>98015</v>
      </c>
      <c r="W27" s="6">
        <f t="shared" si="45"/>
        <v>82815</v>
      </c>
      <c r="CQ27" s="3">
        <v>215000</v>
      </c>
    </row>
    <row r="28" spans="1:104">
      <c r="C28" s="3">
        <v>5477</v>
      </c>
      <c r="AJ28" s="14">
        <v>0</v>
      </c>
      <c r="AQ28" s="14">
        <v>0</v>
      </c>
      <c r="BG28" s="14">
        <v>0</v>
      </c>
      <c r="BM28" s="14">
        <v>0</v>
      </c>
      <c r="BU28" s="14">
        <v>0</v>
      </c>
      <c r="CB28" s="14">
        <v>0</v>
      </c>
      <c r="CH28" s="14">
        <v>0</v>
      </c>
      <c r="CP28" s="14">
        <v>1578828</v>
      </c>
      <c r="CQ28" s="14">
        <v>1313648</v>
      </c>
      <c r="CR28" s="14"/>
    </row>
    <row r="29" spans="1:104">
      <c r="G29" s="14">
        <v>0</v>
      </c>
      <c r="O29" s="14">
        <v>0</v>
      </c>
      <c r="U29" s="14">
        <v>0</v>
      </c>
      <c r="AC29" s="14">
        <v>0</v>
      </c>
    </row>
    <row r="30" spans="1:104">
      <c r="C30" s="3" t="s">
        <v>18</v>
      </c>
      <c r="D30" s="14">
        <v>620098</v>
      </c>
      <c r="H30" s="3" t="s">
        <v>80</v>
      </c>
      <c r="I30" s="15" t="s">
        <v>81</v>
      </c>
      <c r="J30" s="3" t="s">
        <v>82</v>
      </c>
      <c r="CM30" s="14">
        <v>0</v>
      </c>
      <c r="CP30" s="27">
        <v>1879700</v>
      </c>
    </row>
    <row r="31" spans="1:104" ht="20.25">
      <c r="B31" s="190" t="s">
        <v>102</v>
      </c>
      <c r="C31" s="190"/>
      <c r="D31" s="190"/>
      <c r="E31" s="190"/>
      <c r="F31" s="190"/>
      <c r="G31" s="190"/>
      <c r="H31" s="14">
        <f>F26+M26+T27+AA26+AH26+AO26+AX26+BE26+BL26+BS26+BZ26+CG26-613</f>
        <v>300367</v>
      </c>
      <c r="I31" s="27">
        <f>D26+K26+R27+Y26+AF26+AM26+AV26+BC26+BJ26+BQ26+BX26+CE26</f>
        <v>611525</v>
      </c>
      <c r="J31" s="14">
        <f>I26+P26+W27+AD26+AK26+AS26+BA26+BH26+BO26+BV26+CC26+CJ26</f>
        <v>660472</v>
      </c>
      <c r="K31" s="14"/>
      <c r="O31" s="29">
        <f>M34-O33</f>
        <v>1</v>
      </c>
      <c r="CM31" s="14">
        <v>0</v>
      </c>
    </row>
    <row r="32" spans="1:104" ht="21">
      <c r="B32" s="54" t="s">
        <v>92</v>
      </c>
      <c r="C32" s="54" t="s">
        <v>45</v>
      </c>
      <c r="D32" s="54"/>
      <c r="E32" s="54" t="s">
        <v>93</v>
      </c>
      <c r="F32" s="54" t="s">
        <v>45</v>
      </c>
      <c r="G32" s="54"/>
      <c r="H32" s="14"/>
      <c r="I32" s="27"/>
      <c r="J32" s="14"/>
      <c r="K32" s="191" t="s">
        <v>103</v>
      </c>
      <c r="L32" s="191"/>
      <c r="M32" s="191"/>
      <c r="N32" s="191"/>
      <c r="O32" s="191"/>
      <c r="P32" s="191"/>
      <c r="Q32" s="191"/>
      <c r="R32" s="191"/>
      <c r="S32" s="191"/>
      <c r="BF32" s="3">
        <v>0</v>
      </c>
      <c r="CM32" s="14">
        <v>0</v>
      </c>
      <c r="CP32" s="14">
        <v>1578828</v>
      </c>
    </row>
    <row r="33" spans="2:99">
      <c r="B33" s="5" t="s">
        <v>84</v>
      </c>
      <c r="C33" s="6">
        <f>H31+F36</f>
        <v>338521</v>
      </c>
      <c r="D33" s="5"/>
      <c r="E33" s="5"/>
      <c r="F33" s="5"/>
      <c r="G33" s="5"/>
      <c r="K33" s="173" t="s">
        <v>44</v>
      </c>
      <c r="L33" s="173"/>
      <c r="M33" s="173" t="s">
        <v>45</v>
      </c>
      <c r="N33" s="173"/>
      <c r="O33" s="6">
        <f>CQ26</f>
        <v>1296239</v>
      </c>
      <c r="P33" s="173" t="s">
        <v>46</v>
      </c>
      <c r="Q33" s="173"/>
      <c r="R33" s="173" t="s">
        <v>45</v>
      </c>
      <c r="S33" s="173"/>
      <c r="CT33" s="3">
        <f>25300/6000</f>
        <v>4.2166666666666668</v>
      </c>
      <c r="CU33" s="40">
        <f>CS3+CS4+CS5+CS6+CS7+CS8+CS9+CS10+CS11+CS12+CS13+CS14+CS15+CS16+CS17+CS18+CS19+CS20+CS21+CS22+CS23</f>
        <v>54711</v>
      </c>
    </row>
    <row r="34" spans="2:99" ht="15.75">
      <c r="B34" s="5" t="s">
        <v>73</v>
      </c>
      <c r="C34" s="6">
        <f>G26+N26+U27+AB26+AI26+AP26+AY26+BF26+BT26+CA26+CH26+BM26</f>
        <v>110000</v>
      </c>
      <c r="D34" s="5"/>
      <c r="E34" s="5" t="s">
        <v>47</v>
      </c>
      <c r="F34" s="6">
        <f>J31</f>
        <v>660472</v>
      </c>
      <c r="G34" s="6">
        <v>658232</v>
      </c>
      <c r="K34" s="192" t="s">
        <v>48</v>
      </c>
      <c r="L34" s="192"/>
      <c r="M34" s="193">
        <f>M36+(M37-M38)</f>
        <v>1296240</v>
      </c>
      <c r="N34" s="192"/>
      <c r="O34" s="5"/>
      <c r="P34" s="192" t="s">
        <v>49</v>
      </c>
      <c r="Q34" s="192"/>
      <c r="R34" s="193">
        <f>R35+(R36-R37)</f>
        <v>48778</v>
      </c>
      <c r="S34" s="193"/>
      <c r="T34" s="3" t="s">
        <v>20</v>
      </c>
    </row>
    <row r="35" spans="2:99">
      <c r="B35" s="5" t="s">
        <v>50</v>
      </c>
      <c r="C35" s="6">
        <f>I31</f>
        <v>611525</v>
      </c>
      <c r="D35" s="6">
        <v>620098</v>
      </c>
      <c r="E35" s="55" t="s">
        <v>51</v>
      </c>
      <c r="F35" s="57">
        <v>100000</v>
      </c>
      <c r="G35" s="5"/>
      <c r="H35" s="31">
        <f>F42-C42</f>
        <v>0</v>
      </c>
      <c r="K35" s="173"/>
      <c r="L35" s="173"/>
      <c r="M35" s="173"/>
      <c r="N35" s="173"/>
      <c r="O35" s="5"/>
      <c r="P35" s="173" t="s">
        <v>52</v>
      </c>
      <c r="Q35" s="173"/>
      <c r="R35" s="174">
        <f>'2018'!R34:S34</f>
        <v>91914</v>
      </c>
      <c r="S35" s="174"/>
    </row>
    <row r="36" spans="2:99">
      <c r="B36" s="5" t="s">
        <v>53</v>
      </c>
      <c r="C36" s="24">
        <f>E26+L26+S27+Z26+AG26+AN26+AW26+BD26+BK26+BR26+BY26+CF26</f>
        <v>65976</v>
      </c>
      <c r="D36" s="5"/>
      <c r="E36" s="55" t="s">
        <v>54</v>
      </c>
      <c r="F36" s="57">
        <f>'2018'!M41</f>
        <v>38154</v>
      </c>
      <c r="G36" s="5"/>
      <c r="H36" s="30"/>
      <c r="K36" s="173" t="s">
        <v>52</v>
      </c>
      <c r="L36" s="173"/>
      <c r="M36" s="174">
        <f>'2018'!M34</f>
        <v>1283670</v>
      </c>
      <c r="N36" s="174"/>
      <c r="O36" s="5"/>
      <c r="P36" s="173" t="s">
        <v>56</v>
      </c>
      <c r="Q36" s="173"/>
      <c r="R36" s="174">
        <f>F38</f>
        <v>80864</v>
      </c>
      <c r="S36" s="174"/>
    </row>
    <row r="37" spans="2:99">
      <c r="B37" s="5"/>
      <c r="C37" s="5"/>
      <c r="D37" s="5"/>
      <c r="E37" s="55" t="s">
        <v>57</v>
      </c>
      <c r="F37" s="57">
        <f>CR26</f>
        <v>325951</v>
      </c>
      <c r="G37" s="5"/>
      <c r="H37" s="30"/>
      <c r="K37" s="173" t="s">
        <v>58</v>
      </c>
      <c r="L37" s="173"/>
      <c r="M37" s="174">
        <f>C33</f>
        <v>338521</v>
      </c>
      <c r="N37" s="174"/>
      <c r="O37" s="5"/>
      <c r="P37" s="173" t="s">
        <v>59</v>
      </c>
      <c r="Q37" s="173"/>
      <c r="R37" s="174">
        <f>C39</f>
        <v>124000</v>
      </c>
      <c r="S37" s="174"/>
    </row>
    <row r="38" spans="2:99" ht="15.75">
      <c r="B38" s="5" t="s">
        <v>60</v>
      </c>
      <c r="C38" s="5"/>
      <c r="D38" s="5"/>
      <c r="E38" s="55" t="s">
        <v>61</v>
      </c>
      <c r="F38" s="57">
        <v>80864</v>
      </c>
      <c r="G38" s="5"/>
      <c r="H38" s="30"/>
      <c r="K38" s="173" t="s">
        <v>62</v>
      </c>
      <c r="L38" s="173"/>
      <c r="M38" s="174">
        <f>F37</f>
        <v>325951</v>
      </c>
      <c r="N38" s="174"/>
      <c r="O38" s="5"/>
      <c r="P38" s="192" t="s">
        <v>11</v>
      </c>
      <c r="Q38" s="192"/>
      <c r="R38" s="193">
        <f>R39+(R40-R41)</f>
        <v>50000</v>
      </c>
      <c r="S38" s="193"/>
      <c r="T38" s="3" t="s">
        <v>20</v>
      </c>
    </row>
    <row r="39" spans="2:99">
      <c r="B39" s="55" t="s">
        <v>85</v>
      </c>
      <c r="C39" s="56">
        <v>124000</v>
      </c>
      <c r="D39" s="56"/>
      <c r="E39" s="55" t="s">
        <v>63</v>
      </c>
      <c r="F39" s="57">
        <v>121182</v>
      </c>
      <c r="G39" s="5"/>
      <c r="H39" s="30" t="s">
        <v>55</v>
      </c>
      <c r="I39" s="15" t="s">
        <v>83</v>
      </c>
      <c r="K39" s="173"/>
      <c r="L39" s="173"/>
      <c r="M39" s="174"/>
      <c r="N39" s="174"/>
      <c r="O39" s="5"/>
      <c r="P39" s="173" t="s">
        <v>52</v>
      </c>
      <c r="Q39" s="173"/>
      <c r="R39" s="174">
        <f>'2018'!R38:S38</f>
        <v>60000</v>
      </c>
      <c r="S39" s="174"/>
    </row>
    <row r="40" spans="2:99">
      <c r="B40" s="55" t="s">
        <v>64</v>
      </c>
      <c r="C40" s="57">
        <f>'2018'!F39</f>
        <v>87865</v>
      </c>
      <c r="D40" s="57"/>
      <c r="E40" s="55" t="s">
        <v>65</v>
      </c>
      <c r="F40" s="57">
        <v>10364</v>
      </c>
      <c r="G40" s="5"/>
      <c r="H40" s="30">
        <v>627000</v>
      </c>
      <c r="I40" s="15">
        <v>65248</v>
      </c>
      <c r="K40" s="173" t="s">
        <v>66</v>
      </c>
      <c r="L40" s="173"/>
      <c r="M40" s="174"/>
      <c r="N40" s="174"/>
      <c r="O40" s="5"/>
      <c r="P40" s="173" t="s">
        <v>67</v>
      </c>
      <c r="Q40" s="173"/>
      <c r="R40" s="174">
        <f>F35</f>
        <v>100000</v>
      </c>
      <c r="S40" s="174"/>
    </row>
    <row r="41" spans="2:99">
      <c r="B41" s="5"/>
      <c r="C41" s="5"/>
      <c r="D41" s="5"/>
      <c r="E41" s="55" t="s">
        <v>72</v>
      </c>
      <c r="F41" s="57">
        <v>900</v>
      </c>
      <c r="G41" s="5"/>
      <c r="I41" s="15">
        <v>116500</v>
      </c>
      <c r="K41" s="173"/>
      <c r="L41" s="173"/>
      <c r="M41" s="174">
        <v>54712</v>
      </c>
      <c r="N41" s="174"/>
      <c r="O41" s="5"/>
      <c r="P41" s="173" t="s">
        <v>58</v>
      </c>
      <c r="Q41" s="173"/>
      <c r="R41" s="174">
        <f>C34</f>
        <v>110000</v>
      </c>
      <c r="S41" s="174"/>
      <c r="W41" s="3" t="s">
        <v>13</v>
      </c>
    </row>
    <row r="42" spans="2:99" ht="18.75">
      <c r="B42" s="83" t="s">
        <v>94</v>
      </c>
      <c r="C42" s="25">
        <f>SUM(C33:C41)</f>
        <v>1337887</v>
      </c>
      <c r="D42" s="83"/>
      <c r="E42" s="83" t="s">
        <v>94</v>
      </c>
      <c r="F42" s="25">
        <f>SUM(F34:F41)</f>
        <v>1337887</v>
      </c>
      <c r="G42" s="5"/>
      <c r="I42" s="15">
        <v>150983</v>
      </c>
      <c r="K42" s="173"/>
      <c r="L42" s="173"/>
      <c r="M42" s="174"/>
      <c r="N42" s="174"/>
      <c r="O42" s="5"/>
      <c r="P42" s="192" t="s">
        <v>7</v>
      </c>
      <c r="Q42" s="192"/>
      <c r="R42" s="194">
        <f>R43+(R44-R45)</f>
        <v>1130992</v>
      </c>
      <c r="S42" s="194"/>
      <c r="U42" s="29">
        <f>R47-M47</f>
        <v>0</v>
      </c>
      <c r="W42" s="14">
        <f>CL26</f>
        <v>1130992</v>
      </c>
    </row>
    <row r="43" spans="2:99" ht="15.75" thickBot="1">
      <c r="I43" s="15">
        <v>332801</v>
      </c>
      <c r="K43" s="173"/>
      <c r="L43" s="173"/>
      <c r="M43" s="174"/>
      <c r="N43" s="174"/>
      <c r="O43" s="5"/>
      <c r="P43" s="173" t="s">
        <v>52</v>
      </c>
      <c r="Q43" s="173"/>
      <c r="R43" s="174">
        <f>'2018'!R42</f>
        <v>1082045</v>
      </c>
      <c r="S43" s="174"/>
      <c r="W43" s="29">
        <f>R42-W42</f>
        <v>0</v>
      </c>
    </row>
    <row r="44" spans="2:99">
      <c r="B44" s="86" t="s">
        <v>106</v>
      </c>
      <c r="C44" s="42"/>
      <c r="D44" s="97">
        <f>CU3</f>
        <v>148201</v>
      </c>
      <c r="E44" s="91" t="s">
        <v>19</v>
      </c>
      <c r="K44" s="63"/>
      <c r="L44" s="63"/>
      <c r="M44" s="56"/>
      <c r="N44" s="56"/>
      <c r="O44" s="5"/>
      <c r="P44" s="173" t="s">
        <v>67</v>
      </c>
      <c r="Q44" s="173"/>
      <c r="R44" s="174">
        <f>F34</f>
        <v>660472</v>
      </c>
      <c r="S44" s="174"/>
      <c r="W44" s="15"/>
    </row>
    <row r="45" spans="2:99">
      <c r="B45" s="44"/>
      <c r="C45" s="46"/>
      <c r="D45" s="45">
        <f>CU4</f>
        <v>113425</v>
      </c>
      <c r="E45" s="87" t="s">
        <v>21</v>
      </c>
      <c r="K45" s="173"/>
      <c r="L45" s="173"/>
      <c r="M45" s="174"/>
      <c r="N45" s="174"/>
      <c r="O45" s="5"/>
      <c r="P45" s="173" t="s">
        <v>58</v>
      </c>
      <c r="Q45" s="173"/>
      <c r="R45" s="174">
        <f>C35</f>
        <v>611525</v>
      </c>
      <c r="S45" s="174"/>
      <c r="W45" s="29"/>
    </row>
    <row r="46" spans="2:99">
      <c r="B46" s="44"/>
      <c r="C46" s="46"/>
      <c r="D46" s="46">
        <v>64325</v>
      </c>
      <c r="E46" s="87" t="s">
        <v>79</v>
      </c>
      <c r="K46" s="63"/>
      <c r="L46" s="63"/>
      <c r="M46" s="56"/>
      <c r="N46" s="56"/>
      <c r="O46" s="5"/>
      <c r="P46" s="173" t="s">
        <v>68</v>
      </c>
      <c r="Q46" s="173"/>
      <c r="R46" s="174">
        <f>F39</f>
        <v>121182</v>
      </c>
      <c r="S46" s="174"/>
    </row>
    <row r="47" spans="2:99" ht="19.5" thickBot="1">
      <c r="B47" s="49"/>
      <c r="C47" s="94" t="s">
        <v>94</v>
      </c>
      <c r="D47" s="98">
        <f>SUM(D44:D46)</f>
        <v>325951</v>
      </c>
      <c r="E47" s="51"/>
      <c r="K47" s="195" t="s">
        <v>12</v>
      </c>
      <c r="L47" s="195"/>
      <c r="M47" s="196">
        <f>M34+M41</f>
        <v>1350952</v>
      </c>
      <c r="N47" s="196"/>
      <c r="O47" s="83"/>
      <c r="P47" s="195" t="s">
        <v>12</v>
      </c>
      <c r="Q47" s="195"/>
      <c r="R47" s="196">
        <f>R34+R38+R42+R46</f>
        <v>1350952</v>
      </c>
      <c r="S47" s="196"/>
    </row>
    <row r="48" spans="2:99">
      <c r="B48" s="32"/>
      <c r="E48" s="32"/>
    </row>
    <row r="49" spans="2:8">
      <c r="B49" s="32" t="s">
        <v>112</v>
      </c>
      <c r="E49" s="33"/>
      <c r="F49" s="30"/>
      <c r="H49" s="30"/>
    </row>
    <row r="50" spans="2:8">
      <c r="B50" s="32"/>
      <c r="E50" s="33"/>
      <c r="F50" s="30"/>
      <c r="H50" s="30"/>
    </row>
    <row r="51" spans="2:8" ht="23.25">
      <c r="B51" s="32"/>
      <c r="E51" s="33"/>
      <c r="F51" s="102" t="str">
        <f>IF(OR(C42&lt;&gt;F42,M47&lt;&gt;R47),"MIS MATCH","OK")</f>
        <v>OK</v>
      </c>
      <c r="H51" s="30"/>
    </row>
    <row r="52" spans="2:8">
      <c r="B52" s="32"/>
      <c r="E52" s="33"/>
      <c r="F52" s="30"/>
      <c r="G52" s="30"/>
      <c r="H52" s="30"/>
    </row>
    <row r="53" spans="2:8">
      <c r="B53" s="33"/>
      <c r="C53" s="39"/>
      <c r="E53" s="33"/>
      <c r="F53" s="30"/>
      <c r="H53" s="30"/>
    </row>
    <row r="54" spans="2:8">
      <c r="B54" s="33"/>
      <c r="C54" s="30"/>
      <c r="E54" s="33"/>
      <c r="F54" s="30"/>
      <c r="H54" s="30"/>
    </row>
    <row r="55" spans="2:8">
      <c r="E55" s="32"/>
    </row>
  </sheetData>
  <mergeCells count="58">
    <mergeCell ref="P44:Q44"/>
    <mergeCell ref="R44:S44"/>
    <mergeCell ref="K47:L47"/>
    <mergeCell ref="M47:N47"/>
    <mergeCell ref="P47:Q47"/>
    <mergeCell ref="R47:S47"/>
    <mergeCell ref="K45:L45"/>
    <mergeCell ref="M45:N45"/>
    <mergeCell ref="P45:Q45"/>
    <mergeCell ref="R45:S45"/>
    <mergeCell ref="P46:Q46"/>
    <mergeCell ref="R46:S46"/>
    <mergeCell ref="K42:L42"/>
    <mergeCell ref="M42:N42"/>
    <mergeCell ref="P42:Q42"/>
    <mergeCell ref="R42:S42"/>
    <mergeCell ref="K43:L43"/>
    <mergeCell ref="M43:N43"/>
    <mergeCell ref="P43:Q43"/>
    <mergeCell ref="R43:S43"/>
    <mergeCell ref="K40:L40"/>
    <mergeCell ref="M40:N40"/>
    <mergeCell ref="P40:Q40"/>
    <mergeCell ref="R40:S40"/>
    <mergeCell ref="K41:L41"/>
    <mergeCell ref="M41:N41"/>
    <mergeCell ref="P41:Q41"/>
    <mergeCell ref="R41:S41"/>
    <mergeCell ref="K38:L38"/>
    <mergeCell ref="M38:N38"/>
    <mergeCell ref="P38:Q38"/>
    <mergeCell ref="R38:S38"/>
    <mergeCell ref="K39:L39"/>
    <mergeCell ref="M39:N39"/>
    <mergeCell ref="P39:Q39"/>
    <mergeCell ref="R39:S39"/>
    <mergeCell ref="K36:L36"/>
    <mergeCell ref="M36:N36"/>
    <mergeCell ref="P36:Q36"/>
    <mergeCell ref="R36:S36"/>
    <mergeCell ref="K37:L37"/>
    <mergeCell ref="M37:N37"/>
    <mergeCell ref="P37:Q37"/>
    <mergeCell ref="R37:S37"/>
    <mergeCell ref="K34:L34"/>
    <mergeCell ref="M34:N34"/>
    <mergeCell ref="P34:Q34"/>
    <mergeCell ref="R34:S34"/>
    <mergeCell ref="K35:L35"/>
    <mergeCell ref="M35:N35"/>
    <mergeCell ref="P35:Q35"/>
    <mergeCell ref="R35:S35"/>
    <mergeCell ref="B31:G31"/>
    <mergeCell ref="K32:S32"/>
    <mergeCell ref="K33:L33"/>
    <mergeCell ref="M33:N33"/>
    <mergeCell ref="P33:Q33"/>
    <mergeCell ref="R33:S3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Y64"/>
  <sheetViews>
    <sheetView topLeftCell="A16" zoomScaleNormal="100" workbookViewId="0">
      <selection activeCell="M40" sqref="M40:N40"/>
    </sheetView>
  </sheetViews>
  <sheetFormatPr defaultRowHeight="15"/>
  <cols>
    <col min="1" max="1" width="9.140625" style="3"/>
    <col min="2" max="2" width="20.140625" style="3" bestFit="1" customWidth="1"/>
    <col min="3" max="3" width="16.42578125" style="3" bestFit="1" customWidth="1"/>
    <col min="4" max="4" width="11.28515625" style="3" bestFit="1" customWidth="1"/>
    <col min="5" max="5" width="19.140625" style="3" bestFit="1" customWidth="1"/>
    <col min="6" max="6" width="16.42578125" style="3" bestFit="1" customWidth="1"/>
    <col min="7" max="7" width="10.140625" style="3" bestFit="1" customWidth="1"/>
    <col min="8" max="8" width="12.7109375" style="3" bestFit="1" customWidth="1"/>
    <col min="9" max="10" width="11.7109375" style="3" bestFit="1" customWidth="1"/>
    <col min="11" max="11" width="10.28515625" style="3" bestFit="1" customWidth="1"/>
    <col min="12" max="12" width="13.140625" style="3" bestFit="1" customWidth="1"/>
    <col min="13" max="13" width="9.140625" style="3"/>
    <col min="14" max="14" width="14.7109375" style="3" bestFit="1" customWidth="1"/>
    <col min="15" max="15" width="11.7109375" style="3" bestFit="1" customWidth="1"/>
    <col min="16" max="16" width="10.140625" style="3" bestFit="1" customWidth="1"/>
    <col min="17" max="17" width="11.7109375" style="3" bestFit="1" customWidth="1"/>
    <col min="18" max="18" width="10.28515625" style="3" bestFit="1" customWidth="1"/>
    <col min="19" max="19" width="13.140625" style="3" bestFit="1" customWidth="1"/>
    <col min="20" max="20" width="9.140625" style="3"/>
    <col min="21" max="21" width="14.7109375" style="3" bestFit="1" customWidth="1"/>
    <col min="22" max="22" width="12.7109375" style="3" bestFit="1" customWidth="1"/>
    <col min="23" max="24" width="11.7109375" style="3" bestFit="1" customWidth="1"/>
    <col min="25" max="25" width="10.28515625" style="3" bestFit="1" customWidth="1"/>
    <col min="26" max="26" width="13.140625" style="3" bestFit="1" customWidth="1"/>
    <col min="27" max="27" width="9.140625" style="3"/>
    <col min="28" max="28" width="14.7109375" style="3" bestFit="1" customWidth="1"/>
    <col min="29" max="30" width="10.140625" style="3" bestFit="1" customWidth="1"/>
    <col min="31" max="31" width="11.7109375" style="3" bestFit="1" customWidth="1"/>
    <col min="32" max="32" width="10.28515625" style="3" bestFit="1" customWidth="1"/>
    <col min="33" max="33" width="13.140625" style="3" bestFit="1" customWidth="1"/>
    <col min="34" max="34" width="9.140625" style="3"/>
    <col min="35" max="35" width="14.7109375" style="3" bestFit="1" customWidth="1"/>
    <col min="36" max="36" width="14.28515625" style="3" bestFit="1" customWidth="1"/>
    <col min="37" max="37" width="9.140625" style="3"/>
    <col min="38" max="39" width="11.7109375" style="3" bestFit="1" customWidth="1"/>
    <col min="40" max="40" width="13.140625" style="3" bestFit="1" customWidth="1"/>
    <col min="41" max="41" width="9.140625" style="3"/>
    <col min="42" max="42" width="14.7109375" style="3" bestFit="1" customWidth="1"/>
    <col min="43" max="43" width="14.28515625" style="3" bestFit="1" customWidth="1"/>
    <col min="44" max="45" width="10.140625" style="3" bestFit="1" customWidth="1"/>
    <col min="46" max="46" width="9.140625" style="3"/>
    <col min="47" max="47" width="11.7109375" style="3" bestFit="1" customWidth="1"/>
    <col min="48" max="48" width="10.28515625" style="3" bestFit="1" customWidth="1"/>
    <col min="49" max="49" width="13.140625" style="3" bestFit="1" customWidth="1"/>
    <col min="50" max="50" width="9.140625" style="3"/>
    <col min="51" max="51" width="14.7109375" style="3" bestFit="1" customWidth="1"/>
    <col min="52" max="52" width="10.140625" style="3" bestFit="1" customWidth="1"/>
    <col min="53" max="53" width="9.140625" style="3"/>
    <col min="54" max="54" width="11.7109375" style="3" bestFit="1" customWidth="1"/>
    <col min="55" max="55" width="10.28515625" style="3" bestFit="1" customWidth="1"/>
    <col min="56" max="56" width="13.140625" style="3" bestFit="1" customWidth="1"/>
    <col min="57" max="57" width="9.140625" style="3"/>
    <col min="58" max="58" width="14.7109375" style="3" bestFit="1" customWidth="1"/>
    <col min="59" max="59" width="14.28515625" style="3" bestFit="1" customWidth="1"/>
    <col min="60" max="60" width="10.140625" style="3" bestFit="1" customWidth="1"/>
    <col min="61" max="61" width="11.7109375" style="3" bestFit="1" customWidth="1"/>
    <col min="62" max="62" width="10.28515625" style="3" bestFit="1" customWidth="1"/>
    <col min="63" max="63" width="13.140625" style="3" bestFit="1" customWidth="1"/>
    <col min="64" max="64" width="9.140625" style="3"/>
    <col min="65" max="65" width="14.7109375" style="3" bestFit="1" customWidth="1"/>
    <col min="66" max="66" width="12.7109375" style="3" bestFit="1" customWidth="1"/>
    <col min="67" max="67" width="10.140625" style="3" bestFit="1" customWidth="1"/>
    <col min="68" max="68" width="11.7109375" style="3" bestFit="1" customWidth="1"/>
    <col min="69" max="69" width="10.28515625" style="3" bestFit="1" customWidth="1"/>
    <col min="70" max="70" width="13.140625" style="3" bestFit="1" customWidth="1"/>
    <col min="71" max="71" width="9.140625" style="3"/>
    <col min="72" max="72" width="14.7109375" style="3" bestFit="1" customWidth="1"/>
    <col min="73" max="73" width="14.28515625" style="3" bestFit="1" customWidth="1"/>
    <col min="74" max="74" width="10.140625" style="3" bestFit="1" customWidth="1"/>
    <col min="75" max="75" width="11.7109375" style="3" bestFit="1" customWidth="1"/>
    <col min="76" max="76" width="10.28515625" style="3" bestFit="1" customWidth="1"/>
    <col min="77" max="77" width="13.140625" style="3" bestFit="1" customWidth="1"/>
    <col min="78" max="78" width="9.140625" style="3"/>
    <col min="79" max="79" width="14.7109375" style="3" bestFit="1" customWidth="1"/>
    <col min="80" max="80" width="12.7109375" style="3" bestFit="1" customWidth="1"/>
    <col min="81" max="81" width="10.140625" style="3" bestFit="1" customWidth="1"/>
    <col min="82" max="82" width="11.7109375" style="3" bestFit="1" customWidth="1"/>
    <col min="83" max="83" width="10.28515625" style="3" bestFit="1" customWidth="1"/>
    <col min="84" max="84" width="13.140625" style="3" bestFit="1" customWidth="1"/>
    <col min="85" max="85" width="9.140625" style="3"/>
    <col min="86" max="86" width="14.7109375" style="3" bestFit="1" customWidth="1"/>
    <col min="87" max="87" width="12.7109375" style="3" bestFit="1" customWidth="1"/>
    <col min="88" max="88" width="10.140625" style="3" bestFit="1" customWidth="1"/>
    <col min="89" max="89" width="20.140625" style="3" bestFit="1" customWidth="1"/>
    <col min="90" max="90" width="11.7109375" style="3" bestFit="1" customWidth="1"/>
    <col min="91" max="91" width="10.140625" style="3" bestFit="1" customWidth="1"/>
    <col min="92" max="93" width="9.140625" style="3"/>
    <col min="94" max="95" width="11.7109375" style="3" bestFit="1" customWidth="1"/>
    <col min="96" max="96" width="11.7109375" style="3" customWidth="1"/>
    <col min="97" max="97" width="10.140625" style="3" bestFit="1" customWidth="1"/>
    <col min="98" max="98" width="11.7109375" style="40" bestFit="1" customWidth="1"/>
    <col min="99" max="99" width="10.140625" style="3" bestFit="1" customWidth="1"/>
    <col min="100" max="100" width="9.140625" style="3"/>
    <col min="101" max="101" width="10.140625" style="3" bestFit="1" customWidth="1"/>
    <col min="102" max="102" width="11.7109375" style="3" bestFit="1" customWidth="1"/>
    <col min="103" max="103" width="10.140625" style="3" bestFit="1" customWidth="1"/>
    <col min="104" max="16384" width="9.140625" style="3"/>
  </cols>
  <sheetData>
    <row r="1" spans="1:103">
      <c r="D1" s="4">
        <v>43556</v>
      </c>
      <c r="L1" s="4">
        <v>43221</v>
      </c>
      <c r="S1" s="4">
        <v>43252</v>
      </c>
      <c r="Z1" s="4">
        <v>43282</v>
      </c>
      <c r="AF1" s="4">
        <v>43313</v>
      </c>
      <c r="AM1" s="3" t="s">
        <v>0</v>
      </c>
      <c r="AX1" s="3" t="s">
        <v>1</v>
      </c>
      <c r="BE1" s="3" t="s">
        <v>2</v>
      </c>
      <c r="BK1" s="3" t="s">
        <v>3</v>
      </c>
      <c r="BS1" s="3" t="s">
        <v>4</v>
      </c>
      <c r="BX1" s="3" t="s">
        <v>5</v>
      </c>
      <c r="CE1" s="3" t="s">
        <v>69</v>
      </c>
    </row>
    <row r="2" spans="1:103" ht="15.75">
      <c r="B2" s="10" t="s">
        <v>6</v>
      </c>
      <c r="C2" s="23" t="s">
        <v>7</v>
      </c>
      <c r="D2" s="11" t="s">
        <v>8</v>
      </c>
      <c r="E2" s="11" t="s">
        <v>9</v>
      </c>
      <c r="F2" s="11" t="s">
        <v>10</v>
      </c>
      <c r="G2" s="22" t="s">
        <v>11</v>
      </c>
      <c r="H2" s="12" t="s">
        <v>12</v>
      </c>
      <c r="I2" s="13" t="s">
        <v>13</v>
      </c>
      <c r="J2" s="23" t="s">
        <v>7</v>
      </c>
      <c r="K2" s="11" t="s">
        <v>8</v>
      </c>
      <c r="L2" s="11" t="s">
        <v>9</v>
      </c>
      <c r="M2" s="11" t="s">
        <v>10</v>
      </c>
      <c r="N2" s="11" t="s">
        <v>14</v>
      </c>
      <c r="O2" s="12" t="s">
        <v>12</v>
      </c>
      <c r="P2" s="16" t="s">
        <v>7</v>
      </c>
      <c r="Q2" s="23" t="s">
        <v>7</v>
      </c>
      <c r="R2" s="11" t="s">
        <v>8</v>
      </c>
      <c r="S2" s="11" t="s">
        <v>9</v>
      </c>
      <c r="T2" s="11" t="s">
        <v>10</v>
      </c>
      <c r="U2" s="11" t="s">
        <v>14</v>
      </c>
      <c r="V2" s="12" t="s">
        <v>12</v>
      </c>
      <c r="W2" s="16" t="s">
        <v>7</v>
      </c>
      <c r="X2" s="23" t="s">
        <v>7</v>
      </c>
      <c r="Y2" s="11" t="s">
        <v>8</v>
      </c>
      <c r="Z2" s="11" t="s">
        <v>9</v>
      </c>
      <c r="AA2" s="11" t="s">
        <v>10</v>
      </c>
      <c r="AB2" s="11" t="s">
        <v>14</v>
      </c>
      <c r="AC2" s="12" t="s">
        <v>12</v>
      </c>
      <c r="AD2" s="16" t="s">
        <v>7</v>
      </c>
      <c r="AE2" s="23" t="s">
        <v>7</v>
      </c>
      <c r="AF2" s="11" t="s">
        <v>8</v>
      </c>
      <c r="AG2" s="11" t="s">
        <v>9</v>
      </c>
      <c r="AH2" s="11" t="s">
        <v>10</v>
      </c>
      <c r="AI2" s="11" t="s">
        <v>14</v>
      </c>
      <c r="AJ2" s="12" t="s">
        <v>12</v>
      </c>
      <c r="AK2" s="16" t="s">
        <v>7</v>
      </c>
      <c r="AL2" s="23" t="s">
        <v>7</v>
      </c>
      <c r="AM2" s="11" t="s">
        <v>8</v>
      </c>
      <c r="AN2" s="11" t="s">
        <v>9</v>
      </c>
      <c r="AO2" s="11" t="s">
        <v>10</v>
      </c>
      <c r="AP2" s="11" t="s">
        <v>14</v>
      </c>
      <c r="AQ2" s="12" t="s">
        <v>12</v>
      </c>
      <c r="AR2" s="26" t="s">
        <v>15</v>
      </c>
      <c r="AS2" s="16" t="s">
        <v>7</v>
      </c>
      <c r="AU2" s="23" t="s">
        <v>7</v>
      </c>
      <c r="AV2" s="11" t="s">
        <v>8</v>
      </c>
      <c r="AW2" s="11" t="s">
        <v>9</v>
      </c>
      <c r="AX2" s="11" t="s">
        <v>10</v>
      </c>
      <c r="AY2" s="11" t="s">
        <v>14</v>
      </c>
      <c r="AZ2" s="12" t="s">
        <v>12</v>
      </c>
      <c r="BA2" s="16" t="s">
        <v>7</v>
      </c>
      <c r="BB2" s="23" t="s">
        <v>7</v>
      </c>
      <c r="BC2" s="11" t="s">
        <v>8</v>
      </c>
      <c r="BD2" s="11" t="s">
        <v>9</v>
      </c>
      <c r="BE2" s="11" t="s">
        <v>10</v>
      </c>
      <c r="BF2" s="11" t="s">
        <v>14</v>
      </c>
      <c r="BG2" s="12" t="s">
        <v>12</v>
      </c>
      <c r="BH2" s="16" t="s">
        <v>7</v>
      </c>
      <c r="BI2" s="23" t="s">
        <v>7</v>
      </c>
      <c r="BJ2" s="11" t="s">
        <v>8</v>
      </c>
      <c r="BK2" s="11" t="s">
        <v>9</v>
      </c>
      <c r="BL2" s="11" t="s">
        <v>10</v>
      </c>
      <c r="BM2" s="11" t="s">
        <v>14</v>
      </c>
      <c r="BN2" s="12" t="s">
        <v>12</v>
      </c>
      <c r="BO2" s="16" t="s">
        <v>7</v>
      </c>
      <c r="BP2" s="23" t="s">
        <v>7</v>
      </c>
      <c r="BQ2" s="11" t="s">
        <v>8</v>
      </c>
      <c r="BR2" s="11" t="s">
        <v>9</v>
      </c>
      <c r="BS2" s="11" t="s">
        <v>10</v>
      </c>
      <c r="BT2" s="11" t="s">
        <v>14</v>
      </c>
      <c r="BU2" s="12" t="s">
        <v>12</v>
      </c>
      <c r="BV2" s="16" t="s">
        <v>7</v>
      </c>
      <c r="BW2" s="23" t="s">
        <v>7</v>
      </c>
      <c r="BX2" s="11" t="s">
        <v>8</v>
      </c>
      <c r="BY2" s="11" t="s">
        <v>9</v>
      </c>
      <c r="BZ2" s="11" t="s">
        <v>10</v>
      </c>
      <c r="CA2" s="11" t="s">
        <v>14</v>
      </c>
      <c r="CB2" s="12" t="s">
        <v>12</v>
      </c>
      <c r="CC2" s="16" t="s">
        <v>7</v>
      </c>
      <c r="CD2" s="23" t="s">
        <v>7</v>
      </c>
      <c r="CE2" s="11" t="s">
        <v>8</v>
      </c>
      <c r="CF2" s="11" t="s">
        <v>9</v>
      </c>
      <c r="CG2" s="11" t="s">
        <v>10</v>
      </c>
      <c r="CH2" s="11" t="s">
        <v>14</v>
      </c>
      <c r="CI2" s="12" t="s">
        <v>12</v>
      </c>
      <c r="CJ2" s="16" t="s">
        <v>7</v>
      </c>
      <c r="CL2" s="3" t="s">
        <v>16</v>
      </c>
      <c r="CN2" s="3" t="s">
        <v>17</v>
      </c>
      <c r="CP2" s="3" t="s">
        <v>88</v>
      </c>
      <c r="CQ2" s="3" t="s">
        <v>43</v>
      </c>
      <c r="CR2" s="3" t="s">
        <v>115</v>
      </c>
      <c r="CS2" s="3" t="s">
        <v>89</v>
      </c>
      <c r="CT2" s="40" t="s">
        <v>90</v>
      </c>
      <c r="CU2" s="3" t="s">
        <v>18</v>
      </c>
      <c r="CV2" s="3" t="s">
        <v>77</v>
      </c>
      <c r="CW2" s="3" t="s">
        <v>13</v>
      </c>
      <c r="CX2" s="3" t="s">
        <v>70</v>
      </c>
    </row>
    <row r="3" spans="1:103">
      <c r="A3" s="5">
        <v>3</v>
      </c>
      <c r="B3" s="5" t="s">
        <v>22</v>
      </c>
      <c r="C3" s="7"/>
      <c r="D3" s="6"/>
      <c r="E3" s="6"/>
      <c r="F3" s="6"/>
      <c r="G3" s="6"/>
      <c r="H3" s="6"/>
      <c r="I3" s="6"/>
      <c r="J3" s="21"/>
      <c r="K3" s="6"/>
      <c r="L3" s="6"/>
      <c r="M3" s="21"/>
      <c r="N3" s="6"/>
      <c r="O3" s="6"/>
      <c r="P3" s="21"/>
      <c r="Q3" s="6"/>
      <c r="R3" s="6"/>
      <c r="S3" s="21"/>
      <c r="T3" s="6"/>
      <c r="U3" s="6"/>
      <c r="V3" s="21"/>
      <c r="W3" s="6"/>
      <c r="X3" s="6"/>
      <c r="Y3" s="21"/>
      <c r="Z3" s="6"/>
      <c r="AA3" s="6"/>
      <c r="AB3" s="21"/>
      <c r="AC3" s="6"/>
      <c r="AD3" s="6"/>
      <c r="AE3" s="21"/>
      <c r="AF3" s="6"/>
      <c r="AG3" s="6"/>
      <c r="AH3" s="21"/>
      <c r="AI3" s="6"/>
      <c r="AJ3" s="6"/>
      <c r="AK3" s="21"/>
      <c r="AL3" s="6"/>
      <c r="AM3" s="6"/>
      <c r="AN3" s="21"/>
      <c r="AO3" s="6"/>
      <c r="AP3" s="6"/>
      <c r="AQ3" s="21"/>
      <c r="AR3" s="5"/>
      <c r="AS3" s="6"/>
      <c r="AT3" s="5" t="s">
        <v>22</v>
      </c>
      <c r="AU3" s="21">
        <f>'2019'!CL5</f>
        <v>0</v>
      </c>
      <c r="AV3" s="6">
        <f t="shared" ref="AV3:AV23" si="0">AZ3-(AW3+AX3+AY3)</f>
        <v>0</v>
      </c>
      <c r="AW3" s="6">
        <f t="shared" ref="AW3:AW21" si="1">MROUND(((AU3*0.5)/100),1)</f>
        <v>0</v>
      </c>
      <c r="AX3" s="6">
        <v>1500</v>
      </c>
      <c r="AY3" s="6">
        <v>5000</v>
      </c>
      <c r="AZ3" s="6">
        <v>6500</v>
      </c>
      <c r="BA3" s="6">
        <v>0</v>
      </c>
      <c r="BB3" s="21">
        <f t="shared" ref="BB3:BB23" si="2">AU3-AV3+BA3</f>
        <v>0</v>
      </c>
      <c r="BC3" s="6">
        <f t="shared" ref="BC3:BC23" si="3">BG3-(BD3+BE3+BF3)</f>
        <v>0</v>
      </c>
      <c r="BD3" s="6">
        <f t="shared" ref="BD3:BD21" si="4">MROUND(((BB3*0.5)/100),1)</f>
        <v>0</v>
      </c>
      <c r="BE3" s="6">
        <v>1500</v>
      </c>
      <c r="BF3" s="6">
        <v>0</v>
      </c>
      <c r="BG3" s="6">
        <v>1500</v>
      </c>
      <c r="BH3" s="6"/>
      <c r="BI3" s="21">
        <f t="shared" ref="BI3:BI22" si="5">BB3-BC3+BH3</f>
        <v>0</v>
      </c>
      <c r="BJ3" s="6">
        <f t="shared" ref="BJ3:BJ23" si="6">BN3-(BK3+BL3+BM3)</f>
        <v>0</v>
      </c>
      <c r="BK3" s="6">
        <f t="shared" ref="BK3:BK21" si="7">MROUND(((BI3*0.5)/100),1)</f>
        <v>0</v>
      </c>
      <c r="BL3" s="6">
        <v>1500</v>
      </c>
      <c r="BM3" s="6">
        <v>0</v>
      </c>
      <c r="BN3" s="6">
        <v>1500</v>
      </c>
      <c r="BO3" s="6"/>
      <c r="BP3" s="21">
        <f t="shared" ref="BP3:BP23" si="8">BI3-BJ3+BO3</f>
        <v>0</v>
      </c>
      <c r="BQ3" s="6">
        <f t="shared" ref="BQ3:BQ23" si="9">BU3-(BR3+BS3+BT3)</f>
        <v>0</v>
      </c>
      <c r="BR3" s="6">
        <f t="shared" ref="BR3:BR21" si="10">MROUND(((BP3*0.5)/100),1)</f>
        <v>0</v>
      </c>
      <c r="BS3" s="6">
        <v>1500</v>
      </c>
      <c r="BT3" s="6">
        <v>0</v>
      </c>
      <c r="BU3" s="6">
        <v>1500</v>
      </c>
      <c r="BV3" s="6"/>
      <c r="BW3" s="21">
        <f t="shared" ref="BW3:BW23" si="11">BP3-BQ3+BV3</f>
        <v>0</v>
      </c>
      <c r="BX3" s="6">
        <f t="shared" ref="BX3:BX23" si="12">CB3-(BY3+BZ3+CA3)</f>
        <v>0</v>
      </c>
      <c r="BY3" s="6">
        <f t="shared" ref="BY3:BY21" si="13">MROUND(((BW3*0.5)/100),1)</f>
        <v>0</v>
      </c>
      <c r="BZ3" s="6">
        <v>1500</v>
      </c>
      <c r="CA3" s="6">
        <v>0</v>
      </c>
      <c r="CB3" s="6">
        <v>1500</v>
      </c>
      <c r="CC3" s="6"/>
      <c r="CD3" s="21">
        <f t="shared" ref="CD3:CD23" si="14">BW3-BX3+CC3</f>
        <v>0</v>
      </c>
      <c r="CE3" s="6">
        <f t="shared" ref="CE3:CE23" si="15">CI3-(CF3+CG3+CH3)</f>
        <v>0</v>
      </c>
      <c r="CF3" s="6">
        <f t="shared" ref="CF3:CF22" si="16">MROUND(((CD3*0.5)/100),1)</f>
        <v>0</v>
      </c>
      <c r="CG3" s="6">
        <v>1500</v>
      </c>
      <c r="CH3" s="6"/>
      <c r="CI3" s="6">
        <v>1500</v>
      </c>
      <c r="CJ3" s="6">
        <v>13000</v>
      </c>
      <c r="CK3" s="5" t="s">
        <v>22</v>
      </c>
      <c r="CL3" s="14">
        <f t="shared" ref="CL3:CL23" si="17">CD3-CE3+CJ3</f>
        <v>13000</v>
      </c>
      <c r="CM3" s="14">
        <v>0</v>
      </c>
      <c r="CN3" s="14">
        <v>5000</v>
      </c>
      <c r="CO3" s="14">
        <v>5000</v>
      </c>
      <c r="CP3" s="14">
        <f>'2019'!CU5</f>
        <v>103235</v>
      </c>
      <c r="CQ3" s="14">
        <f>CP3+F3+M3+T3+AA3+AH3+AO3+AX3+BE3+BL3+BS3+BZ3+CG3</f>
        <v>112235</v>
      </c>
      <c r="CR3" s="14">
        <v>100</v>
      </c>
      <c r="CS3" s="14">
        <f>MROUND((CQ3*$M$39)/$M$32,1)+CR3</f>
        <v>2044</v>
      </c>
      <c r="CT3" s="41">
        <f>CQ3+CS3</f>
        <v>114279</v>
      </c>
      <c r="CU3" s="14">
        <v>0</v>
      </c>
      <c r="CV3" s="14">
        <v>0</v>
      </c>
      <c r="CW3" s="14">
        <v>0</v>
      </c>
      <c r="CX3" s="14">
        <v>0</v>
      </c>
      <c r="CY3" s="14">
        <v>18000</v>
      </c>
    </row>
    <row r="4" spans="1:103">
      <c r="A4" s="5">
        <v>4</v>
      </c>
      <c r="B4" s="5" t="s">
        <v>23</v>
      </c>
      <c r="C4" s="7"/>
      <c r="D4" s="6"/>
      <c r="E4" s="6"/>
      <c r="F4" s="6"/>
      <c r="G4" s="6"/>
      <c r="H4" s="6"/>
      <c r="I4" s="6"/>
      <c r="J4" s="21"/>
      <c r="K4" s="6"/>
      <c r="L4" s="6"/>
      <c r="M4" s="6"/>
      <c r="N4" s="6"/>
      <c r="O4" s="6"/>
      <c r="P4" s="6"/>
      <c r="Q4" s="21"/>
      <c r="R4" s="6"/>
      <c r="S4" s="6"/>
      <c r="T4" s="6"/>
      <c r="U4" s="6"/>
      <c r="V4" s="6"/>
      <c r="W4" s="6"/>
      <c r="X4" s="21"/>
      <c r="Y4" s="6"/>
      <c r="Z4" s="6"/>
      <c r="AA4" s="6"/>
      <c r="AB4" s="6"/>
      <c r="AC4" s="6"/>
      <c r="AD4" s="6"/>
      <c r="AE4" s="21"/>
      <c r="AF4" s="6"/>
      <c r="AG4" s="6"/>
      <c r="AH4" s="6"/>
      <c r="AI4" s="6"/>
      <c r="AJ4" s="6"/>
      <c r="AK4" s="6"/>
      <c r="AL4" s="21"/>
      <c r="AM4" s="6"/>
      <c r="AN4" s="6"/>
      <c r="AO4" s="6"/>
      <c r="AP4" s="6"/>
      <c r="AQ4" s="6"/>
      <c r="AR4" s="5"/>
      <c r="AS4" s="6"/>
      <c r="AT4" s="5" t="s">
        <v>23</v>
      </c>
      <c r="AU4" s="21">
        <v>0</v>
      </c>
      <c r="AV4" s="6">
        <f t="shared" si="0"/>
        <v>0</v>
      </c>
      <c r="AW4" s="6">
        <f t="shared" si="1"/>
        <v>0</v>
      </c>
      <c r="AX4" s="6">
        <v>500</v>
      </c>
      <c r="AY4" s="6">
        <v>1000</v>
      </c>
      <c r="AZ4" s="6">
        <v>1500</v>
      </c>
      <c r="BA4" s="6">
        <v>0</v>
      </c>
      <c r="BB4" s="21">
        <f t="shared" si="2"/>
        <v>0</v>
      </c>
      <c r="BC4" s="6">
        <f t="shared" si="3"/>
        <v>0</v>
      </c>
      <c r="BD4" s="6">
        <f t="shared" si="4"/>
        <v>0</v>
      </c>
      <c r="BE4" s="6">
        <v>500</v>
      </c>
      <c r="BF4" s="6">
        <v>1000</v>
      </c>
      <c r="BG4" s="6">
        <v>1500</v>
      </c>
      <c r="BH4" s="6">
        <v>0</v>
      </c>
      <c r="BI4" s="21">
        <f t="shared" si="5"/>
        <v>0</v>
      </c>
      <c r="BJ4" s="6">
        <f t="shared" si="6"/>
        <v>0</v>
      </c>
      <c r="BK4" s="6">
        <f t="shared" si="7"/>
        <v>0</v>
      </c>
      <c r="BL4" s="6">
        <v>500</v>
      </c>
      <c r="BM4" s="6">
        <v>1000</v>
      </c>
      <c r="BN4" s="6">
        <v>1500</v>
      </c>
      <c r="BO4" s="6"/>
      <c r="BP4" s="21">
        <f t="shared" si="8"/>
        <v>0</v>
      </c>
      <c r="BQ4" s="6">
        <f t="shared" si="9"/>
        <v>0</v>
      </c>
      <c r="BR4" s="6">
        <f t="shared" si="10"/>
        <v>0</v>
      </c>
      <c r="BS4" s="6">
        <v>500</v>
      </c>
      <c r="BT4" s="6">
        <v>1000</v>
      </c>
      <c r="BU4" s="6">
        <v>1500</v>
      </c>
      <c r="BV4" s="6"/>
      <c r="BW4" s="21">
        <f t="shared" si="11"/>
        <v>0</v>
      </c>
      <c r="BX4" s="6">
        <f t="shared" si="12"/>
        <v>0</v>
      </c>
      <c r="BY4" s="6">
        <f t="shared" si="13"/>
        <v>0</v>
      </c>
      <c r="BZ4" s="6">
        <v>500</v>
      </c>
      <c r="CA4" s="6">
        <v>1000</v>
      </c>
      <c r="CB4" s="6">
        <v>1500</v>
      </c>
      <c r="CC4" s="6"/>
      <c r="CD4" s="21">
        <f t="shared" si="14"/>
        <v>0</v>
      </c>
      <c r="CE4" s="6">
        <f t="shared" si="15"/>
        <v>0</v>
      </c>
      <c r="CF4" s="6">
        <f t="shared" si="16"/>
        <v>0</v>
      </c>
      <c r="CG4" s="6">
        <v>500</v>
      </c>
      <c r="CH4" s="6"/>
      <c r="CI4" s="6">
        <v>500</v>
      </c>
      <c r="CJ4" s="6"/>
      <c r="CK4" s="5" t="s">
        <v>23</v>
      </c>
      <c r="CL4" s="14">
        <f t="shared" si="17"/>
        <v>0</v>
      </c>
      <c r="CM4" s="14">
        <v>0</v>
      </c>
      <c r="CN4" s="14">
        <v>5000</v>
      </c>
      <c r="CO4" s="14">
        <v>5000</v>
      </c>
      <c r="CP4" s="14">
        <f>'2019'!CU6</f>
        <v>68134</v>
      </c>
      <c r="CQ4" s="14">
        <f>CP4+F4+M4+T4+AA4+AH4+AO4+AX4+BE4+BL4+BS4+BZ4+CG4</f>
        <v>71134</v>
      </c>
      <c r="CR4" s="14">
        <v>90</v>
      </c>
      <c r="CS4" s="14">
        <f t="shared" ref="CS4:CS24" si="18">MROUND((CQ4*$M$39)/$M$32,1)+CR4</f>
        <v>1322</v>
      </c>
      <c r="CT4" s="41">
        <f t="shared" ref="CT4:CT23" si="19">CQ4+CS4</f>
        <v>72456</v>
      </c>
      <c r="CU4" s="14">
        <v>156887</v>
      </c>
      <c r="CV4" s="14">
        <v>2613</v>
      </c>
      <c r="CW4" s="14">
        <v>157500</v>
      </c>
      <c r="CX4" s="14">
        <v>613</v>
      </c>
      <c r="CY4" s="14">
        <v>6000</v>
      </c>
    </row>
    <row r="5" spans="1:103">
      <c r="A5" s="5">
        <v>5</v>
      </c>
      <c r="B5" s="5" t="s">
        <v>24</v>
      </c>
      <c r="C5" s="7"/>
      <c r="D5" s="6"/>
      <c r="E5" s="6"/>
      <c r="F5" s="6"/>
      <c r="G5" s="6"/>
      <c r="H5" s="6"/>
      <c r="I5" s="6"/>
      <c r="J5" s="21"/>
      <c r="K5" s="6"/>
      <c r="L5" s="6"/>
      <c r="M5" s="6"/>
      <c r="N5" s="6"/>
      <c r="O5" s="6"/>
      <c r="P5" s="6"/>
      <c r="Q5" s="21"/>
      <c r="R5" s="6"/>
      <c r="S5" s="6"/>
      <c r="T5" s="6"/>
      <c r="U5" s="6"/>
      <c r="V5" s="6"/>
      <c r="W5" s="6"/>
      <c r="X5" s="21"/>
      <c r="Y5" s="6"/>
      <c r="Z5" s="6"/>
      <c r="AA5" s="6"/>
      <c r="AB5" s="6"/>
      <c r="AC5" s="6"/>
      <c r="AD5" s="6"/>
      <c r="AE5" s="21"/>
      <c r="AF5" s="6"/>
      <c r="AG5" s="6"/>
      <c r="AH5" s="6"/>
      <c r="AI5" s="6"/>
      <c r="AJ5" s="6"/>
      <c r="AK5" s="6"/>
      <c r="AL5" s="21"/>
      <c r="AM5" s="6"/>
      <c r="AN5" s="6"/>
      <c r="AO5" s="6"/>
      <c r="AP5" s="6"/>
      <c r="AQ5" s="6"/>
      <c r="AR5" s="5"/>
      <c r="AS5" s="6"/>
      <c r="AT5" s="5" t="s">
        <v>24</v>
      </c>
      <c r="AU5" s="21">
        <f>'2019'!CL7</f>
        <v>0</v>
      </c>
      <c r="AV5" s="6">
        <f t="shared" si="0"/>
        <v>0</v>
      </c>
      <c r="AW5" s="6">
        <f t="shared" si="1"/>
        <v>0</v>
      </c>
      <c r="AX5" s="6">
        <v>1000</v>
      </c>
      <c r="AY5" s="6">
        <v>1000</v>
      </c>
      <c r="AZ5" s="6">
        <v>2000</v>
      </c>
      <c r="BA5" s="6">
        <v>0</v>
      </c>
      <c r="BB5" s="21">
        <f t="shared" si="2"/>
        <v>0</v>
      </c>
      <c r="BC5" s="6">
        <f t="shared" si="3"/>
        <v>0</v>
      </c>
      <c r="BD5" s="6">
        <f t="shared" si="4"/>
        <v>0</v>
      </c>
      <c r="BE5" s="6">
        <v>1000</v>
      </c>
      <c r="BF5" s="6">
        <v>1000</v>
      </c>
      <c r="BG5" s="6">
        <v>2000</v>
      </c>
      <c r="BH5" s="6"/>
      <c r="BI5" s="21">
        <f t="shared" si="5"/>
        <v>0</v>
      </c>
      <c r="BJ5" s="6">
        <f t="shared" si="6"/>
        <v>0</v>
      </c>
      <c r="BK5" s="6">
        <f t="shared" si="7"/>
        <v>0</v>
      </c>
      <c r="BL5" s="6">
        <v>1000</v>
      </c>
      <c r="BM5" s="6">
        <v>1000</v>
      </c>
      <c r="BN5" s="6">
        <v>2000</v>
      </c>
      <c r="BO5" s="6"/>
      <c r="BP5" s="21">
        <f t="shared" si="8"/>
        <v>0</v>
      </c>
      <c r="BQ5" s="6">
        <f t="shared" si="9"/>
        <v>0</v>
      </c>
      <c r="BR5" s="6">
        <f t="shared" si="10"/>
        <v>0</v>
      </c>
      <c r="BS5" s="6">
        <v>1000</v>
      </c>
      <c r="BT5" s="6">
        <v>1000</v>
      </c>
      <c r="BU5" s="6">
        <v>2000</v>
      </c>
      <c r="BV5" s="6"/>
      <c r="BW5" s="21">
        <f t="shared" si="11"/>
        <v>0</v>
      </c>
      <c r="BX5" s="6">
        <f t="shared" si="12"/>
        <v>0</v>
      </c>
      <c r="BY5" s="6">
        <f t="shared" si="13"/>
        <v>0</v>
      </c>
      <c r="BZ5" s="6">
        <v>1000</v>
      </c>
      <c r="CA5" s="6">
        <v>1000</v>
      </c>
      <c r="CB5" s="6">
        <v>2000</v>
      </c>
      <c r="CC5" s="6">
        <v>100000</v>
      </c>
      <c r="CD5" s="21">
        <f t="shared" si="14"/>
        <v>100000</v>
      </c>
      <c r="CE5" s="6">
        <f t="shared" si="15"/>
        <v>8500</v>
      </c>
      <c r="CF5" s="6">
        <f t="shared" si="16"/>
        <v>500</v>
      </c>
      <c r="CG5" s="6">
        <v>1000</v>
      </c>
      <c r="CH5" s="6"/>
      <c r="CI5" s="6">
        <v>10000</v>
      </c>
      <c r="CJ5" s="6"/>
      <c r="CK5" s="5" t="s">
        <v>24</v>
      </c>
      <c r="CL5" s="14">
        <f t="shared" si="17"/>
        <v>91500</v>
      </c>
      <c r="CM5" s="14">
        <v>49745</v>
      </c>
      <c r="CN5" s="14">
        <v>5000</v>
      </c>
      <c r="CO5" s="14">
        <v>5000</v>
      </c>
      <c r="CP5" s="14">
        <f>'2019'!CU7</f>
        <v>95030</v>
      </c>
      <c r="CQ5" s="14">
        <f>CP5+F5+M5+T5+AA5+AH5+AO5+AX5+BE5+BL5+BS5+BZ5+CG5</f>
        <v>101030</v>
      </c>
      <c r="CR5" s="14">
        <v>100</v>
      </c>
      <c r="CS5" s="14">
        <f t="shared" si="18"/>
        <v>1850</v>
      </c>
      <c r="CT5" s="41">
        <f t="shared" si="19"/>
        <v>102880</v>
      </c>
      <c r="CU5" s="14">
        <v>49800</v>
      </c>
      <c r="CV5" s="14">
        <v>1576</v>
      </c>
      <c r="CW5" s="14">
        <v>0</v>
      </c>
      <c r="CX5" s="14">
        <v>0</v>
      </c>
      <c r="CY5" s="14">
        <v>12624</v>
      </c>
    </row>
    <row r="6" spans="1:103">
      <c r="A6" s="5">
        <v>6</v>
      </c>
      <c r="B6" s="5" t="s">
        <v>25</v>
      </c>
      <c r="C6" s="7"/>
      <c r="D6" s="6"/>
      <c r="E6" s="6"/>
      <c r="F6" s="6"/>
      <c r="G6" s="6"/>
      <c r="H6" s="6"/>
      <c r="I6" s="6"/>
      <c r="J6" s="21"/>
      <c r="K6" s="6"/>
      <c r="L6" s="6"/>
      <c r="M6" s="6"/>
      <c r="N6" s="6"/>
      <c r="O6" s="6"/>
      <c r="P6" s="6"/>
      <c r="Q6" s="21"/>
      <c r="R6" s="6"/>
      <c r="S6" s="6"/>
      <c r="T6" s="6"/>
      <c r="U6" s="6"/>
      <c r="V6" s="6"/>
      <c r="W6" s="6"/>
      <c r="X6" s="21"/>
      <c r="Y6" s="6"/>
      <c r="Z6" s="6"/>
      <c r="AA6" s="6"/>
      <c r="AB6" s="6"/>
      <c r="AC6" s="6"/>
      <c r="AD6" s="6"/>
      <c r="AE6" s="21"/>
      <c r="AF6" s="6"/>
      <c r="AG6" s="6"/>
      <c r="AH6" s="6"/>
      <c r="AI6" s="6"/>
      <c r="AJ6" s="6"/>
      <c r="AK6" s="6"/>
      <c r="AL6" s="21"/>
      <c r="AM6" s="6"/>
      <c r="AN6" s="6"/>
      <c r="AO6" s="6"/>
      <c r="AP6" s="6"/>
      <c r="AQ6" s="6"/>
      <c r="AR6" s="5"/>
      <c r="AS6" s="6"/>
      <c r="AT6" s="5" t="s">
        <v>25</v>
      </c>
      <c r="AU6" s="21">
        <f>'2019'!CL8</f>
        <v>56774</v>
      </c>
      <c r="AV6" s="6">
        <f t="shared" si="0"/>
        <v>2216</v>
      </c>
      <c r="AW6" s="6">
        <f t="shared" si="1"/>
        <v>284</v>
      </c>
      <c r="AX6" s="6">
        <v>500</v>
      </c>
      <c r="AY6" s="6">
        <v>1000</v>
      </c>
      <c r="AZ6" s="6">
        <v>4000</v>
      </c>
      <c r="BA6" s="6">
        <v>0</v>
      </c>
      <c r="BB6" s="21">
        <f t="shared" si="2"/>
        <v>54558</v>
      </c>
      <c r="BC6" s="6">
        <f t="shared" si="3"/>
        <v>1227</v>
      </c>
      <c r="BD6" s="6">
        <f t="shared" si="4"/>
        <v>273</v>
      </c>
      <c r="BE6" s="6">
        <v>500</v>
      </c>
      <c r="BF6" s="6">
        <v>1000</v>
      </c>
      <c r="BG6" s="6">
        <v>3000</v>
      </c>
      <c r="BH6" s="6"/>
      <c r="BI6" s="21">
        <f t="shared" si="5"/>
        <v>53331</v>
      </c>
      <c r="BJ6" s="6">
        <f t="shared" si="6"/>
        <v>1233</v>
      </c>
      <c r="BK6" s="6">
        <f t="shared" si="7"/>
        <v>267</v>
      </c>
      <c r="BL6" s="6">
        <v>500</v>
      </c>
      <c r="BM6" s="6">
        <v>1000</v>
      </c>
      <c r="BN6" s="6">
        <v>3000</v>
      </c>
      <c r="BO6" s="6">
        <v>0</v>
      </c>
      <c r="BP6" s="21">
        <f t="shared" si="8"/>
        <v>52098</v>
      </c>
      <c r="BQ6" s="6">
        <f t="shared" si="9"/>
        <v>1240</v>
      </c>
      <c r="BR6" s="6">
        <f t="shared" si="10"/>
        <v>260</v>
      </c>
      <c r="BS6" s="6">
        <v>500</v>
      </c>
      <c r="BT6" s="6">
        <v>1000</v>
      </c>
      <c r="BU6" s="6">
        <v>3000</v>
      </c>
      <c r="BV6" s="6"/>
      <c r="BW6" s="21">
        <f t="shared" si="11"/>
        <v>50858</v>
      </c>
      <c r="BX6" s="6">
        <f t="shared" si="12"/>
        <v>1246</v>
      </c>
      <c r="BY6" s="6">
        <f t="shared" si="13"/>
        <v>254</v>
      </c>
      <c r="BZ6" s="6">
        <v>500</v>
      </c>
      <c r="CA6" s="6">
        <v>1000</v>
      </c>
      <c r="CB6" s="6">
        <v>3000</v>
      </c>
      <c r="CC6" s="6"/>
      <c r="CD6" s="21">
        <f t="shared" si="14"/>
        <v>49612</v>
      </c>
      <c r="CE6" s="6">
        <f t="shared" si="15"/>
        <v>5252</v>
      </c>
      <c r="CF6" s="6">
        <f t="shared" si="16"/>
        <v>248</v>
      </c>
      <c r="CG6" s="6">
        <v>500</v>
      </c>
      <c r="CH6" s="6"/>
      <c r="CI6" s="6">
        <v>6000</v>
      </c>
      <c r="CJ6" s="6"/>
      <c r="CK6" s="5" t="s">
        <v>25</v>
      </c>
      <c r="CL6" s="14">
        <f t="shared" si="17"/>
        <v>44360</v>
      </c>
      <c r="CM6" s="14">
        <v>10990</v>
      </c>
      <c r="CN6" s="14">
        <v>5000</v>
      </c>
      <c r="CO6" s="14">
        <v>5000</v>
      </c>
      <c r="CP6" s="14">
        <f>'2019'!CU8</f>
        <v>69170</v>
      </c>
      <c r="CQ6" s="14">
        <f>CP6+F6+M6+T6+AA6+AH6+AO6+AX6+BE6+BL6+BS6+BZ6+CG6</f>
        <v>72170</v>
      </c>
      <c r="CR6" s="14">
        <v>-72</v>
      </c>
      <c r="CS6" s="14">
        <f t="shared" si="18"/>
        <v>1178</v>
      </c>
      <c r="CT6" s="41">
        <f t="shared" si="19"/>
        <v>73348</v>
      </c>
      <c r="CU6" s="14">
        <v>21216</v>
      </c>
      <c r="CV6" s="14">
        <v>1339</v>
      </c>
      <c r="CW6" s="14">
        <v>67000</v>
      </c>
      <c r="CX6" s="14">
        <v>56774</v>
      </c>
      <c r="CY6" s="14">
        <v>6000</v>
      </c>
    </row>
    <row r="7" spans="1:103">
      <c r="A7" s="5">
        <v>7</v>
      </c>
      <c r="B7" s="5" t="s">
        <v>26</v>
      </c>
      <c r="C7" s="7"/>
      <c r="D7" s="6"/>
      <c r="E7" s="6"/>
      <c r="F7" s="6"/>
      <c r="G7" s="6"/>
      <c r="H7" s="6"/>
      <c r="I7" s="6"/>
      <c r="J7" s="21"/>
      <c r="K7" s="6"/>
      <c r="L7" s="6"/>
      <c r="M7" s="6"/>
      <c r="N7" s="6"/>
      <c r="O7" s="6"/>
      <c r="P7" s="6"/>
      <c r="Q7" s="21"/>
      <c r="R7" s="6"/>
      <c r="S7" s="6"/>
      <c r="T7" s="6"/>
      <c r="U7" s="6"/>
      <c r="V7" s="6"/>
      <c r="W7" s="6"/>
      <c r="X7" s="21"/>
      <c r="Y7" s="6"/>
      <c r="Z7" s="6"/>
      <c r="AA7" s="6"/>
      <c r="AB7" s="6"/>
      <c r="AC7" s="6"/>
      <c r="AD7" s="6"/>
      <c r="AE7" s="21"/>
      <c r="AF7" s="6"/>
      <c r="AG7" s="6"/>
      <c r="AH7" s="6"/>
      <c r="AI7" s="6"/>
      <c r="AJ7" s="6"/>
      <c r="AK7" s="6"/>
      <c r="AL7" s="21"/>
      <c r="AM7" s="6"/>
      <c r="AN7" s="6"/>
      <c r="AO7" s="6"/>
      <c r="AP7" s="6"/>
      <c r="AQ7" s="6"/>
      <c r="AR7" s="6"/>
      <c r="AS7" s="6"/>
      <c r="AT7" s="5" t="s">
        <v>26</v>
      </c>
      <c r="AU7" s="21">
        <f>'2019'!CL9</f>
        <v>120483</v>
      </c>
      <c r="AV7" s="6">
        <f t="shared" si="0"/>
        <v>-102</v>
      </c>
      <c r="AW7" s="6">
        <f t="shared" si="1"/>
        <v>602</v>
      </c>
      <c r="AX7" s="6">
        <v>500</v>
      </c>
      <c r="AY7" s="6">
        <v>1000</v>
      </c>
      <c r="AZ7" s="21">
        <v>2000</v>
      </c>
      <c r="BA7" s="6">
        <v>0</v>
      </c>
      <c r="BB7" s="21">
        <f t="shared" si="2"/>
        <v>120585</v>
      </c>
      <c r="BC7" s="6">
        <f t="shared" si="3"/>
        <v>0</v>
      </c>
      <c r="BD7" s="6">
        <f t="shared" si="4"/>
        <v>603</v>
      </c>
      <c r="BE7" s="6">
        <v>500</v>
      </c>
      <c r="BF7" s="6">
        <v>1000</v>
      </c>
      <c r="BG7" s="6">
        <v>2103</v>
      </c>
      <c r="BH7" s="6">
        <v>2103</v>
      </c>
      <c r="BI7" s="21">
        <f t="shared" si="5"/>
        <v>122688</v>
      </c>
      <c r="BJ7" s="6">
        <f t="shared" si="6"/>
        <v>0</v>
      </c>
      <c r="BK7" s="6">
        <f t="shared" si="7"/>
        <v>613</v>
      </c>
      <c r="BL7" s="6">
        <v>500</v>
      </c>
      <c r="BM7" s="6">
        <v>1000</v>
      </c>
      <c r="BN7" s="6">
        <v>2113</v>
      </c>
      <c r="BO7" s="6">
        <v>2113</v>
      </c>
      <c r="BP7" s="21">
        <f t="shared" si="8"/>
        <v>124801</v>
      </c>
      <c r="BQ7" s="6">
        <f t="shared" si="9"/>
        <v>-124</v>
      </c>
      <c r="BR7" s="6">
        <f t="shared" si="10"/>
        <v>624</v>
      </c>
      <c r="BS7" s="6">
        <v>500</v>
      </c>
      <c r="BT7" s="6">
        <v>1000</v>
      </c>
      <c r="BU7" s="6">
        <v>2000</v>
      </c>
      <c r="BV7" s="6"/>
      <c r="BW7" s="21">
        <f t="shared" si="11"/>
        <v>124925</v>
      </c>
      <c r="BX7" s="6">
        <f t="shared" si="12"/>
        <v>0</v>
      </c>
      <c r="BY7" s="6">
        <f t="shared" si="13"/>
        <v>625</v>
      </c>
      <c r="BZ7" s="6">
        <v>500</v>
      </c>
      <c r="CA7" s="6">
        <v>1000</v>
      </c>
      <c r="CB7" s="21">
        <v>2125</v>
      </c>
      <c r="CC7" s="6">
        <v>2125</v>
      </c>
      <c r="CD7" s="21">
        <f t="shared" si="14"/>
        <v>127050</v>
      </c>
      <c r="CE7" s="6">
        <f t="shared" si="15"/>
        <v>0</v>
      </c>
      <c r="CF7" s="6">
        <f t="shared" si="16"/>
        <v>635</v>
      </c>
      <c r="CG7" s="6">
        <v>500</v>
      </c>
      <c r="CH7" s="6"/>
      <c r="CI7" s="6">
        <v>1135</v>
      </c>
      <c r="CJ7" s="6">
        <v>1135</v>
      </c>
      <c r="CK7" s="5" t="s">
        <v>26</v>
      </c>
      <c r="CL7" s="14">
        <f t="shared" si="17"/>
        <v>128185</v>
      </c>
      <c r="CM7" s="14">
        <v>111359</v>
      </c>
      <c r="CN7" s="14">
        <v>5000</v>
      </c>
      <c r="CO7" s="14"/>
      <c r="CP7" s="14">
        <f>'2019'!CU9</f>
        <v>33562</v>
      </c>
      <c r="CQ7" s="14">
        <f>CP7+F7+M7+T7+AA7+AH7+AO7+AX7+BE7+BL7+BS7+BZ7+CG7</f>
        <v>36562</v>
      </c>
      <c r="CR7" s="14">
        <v>-72</v>
      </c>
      <c r="CS7" s="14">
        <f t="shared" si="18"/>
        <v>561</v>
      </c>
      <c r="CT7" s="41">
        <f t="shared" si="19"/>
        <v>37123</v>
      </c>
      <c r="CU7" s="14">
        <v>16276</v>
      </c>
      <c r="CV7" s="14">
        <v>6609</v>
      </c>
      <c r="CW7" s="14">
        <v>25185</v>
      </c>
      <c r="CX7" s="14">
        <v>120252</v>
      </c>
      <c r="CY7" s="14">
        <v>6000</v>
      </c>
    </row>
    <row r="8" spans="1:103">
      <c r="A8" s="5">
        <v>8</v>
      </c>
      <c r="B8" s="5" t="s">
        <v>27</v>
      </c>
      <c r="C8" s="7"/>
      <c r="D8" s="6"/>
      <c r="E8" s="6"/>
      <c r="F8" s="6"/>
      <c r="G8" s="6"/>
      <c r="H8" s="6"/>
      <c r="I8" s="6"/>
      <c r="J8" s="21"/>
      <c r="K8" s="6"/>
      <c r="L8" s="6"/>
      <c r="M8" s="6"/>
      <c r="N8" s="6"/>
      <c r="O8" s="6"/>
      <c r="P8" s="6"/>
      <c r="Q8" s="21"/>
      <c r="R8" s="6"/>
      <c r="S8" s="6"/>
      <c r="T8" s="6"/>
      <c r="U8" s="6"/>
      <c r="V8" s="6"/>
      <c r="W8" s="6"/>
      <c r="X8" s="21"/>
      <c r="Y8" s="6"/>
      <c r="Z8" s="6"/>
      <c r="AA8" s="6"/>
      <c r="AB8" s="6"/>
      <c r="AC8" s="6"/>
      <c r="AD8" s="6"/>
      <c r="AE8" s="21"/>
      <c r="AF8" s="6"/>
      <c r="AG8" s="6"/>
      <c r="AH8" s="6"/>
      <c r="AI8" s="6"/>
      <c r="AJ8" s="6"/>
      <c r="AK8" s="6"/>
      <c r="AL8" s="21"/>
      <c r="AM8" s="6"/>
      <c r="AN8" s="6"/>
      <c r="AO8" s="6"/>
      <c r="AP8" s="6"/>
      <c r="AQ8" s="6"/>
      <c r="AR8" s="6"/>
      <c r="AS8" s="6"/>
      <c r="AT8" s="5" t="s">
        <v>27</v>
      </c>
      <c r="AU8" s="21">
        <f>'2019'!CL10</f>
        <v>0</v>
      </c>
      <c r="AV8" s="6">
        <f t="shared" si="0"/>
        <v>0</v>
      </c>
      <c r="AW8" s="6">
        <f t="shared" si="1"/>
        <v>0</v>
      </c>
      <c r="AX8" s="6">
        <v>500</v>
      </c>
      <c r="AY8" s="6">
        <v>0</v>
      </c>
      <c r="AZ8" s="28">
        <v>500</v>
      </c>
      <c r="BA8" s="6">
        <v>0</v>
      </c>
      <c r="BB8" s="21">
        <f t="shared" si="2"/>
        <v>0</v>
      </c>
      <c r="BC8" s="6">
        <f t="shared" si="3"/>
        <v>0</v>
      </c>
      <c r="BD8" s="6">
        <f t="shared" si="4"/>
        <v>0</v>
      </c>
      <c r="BE8" s="6">
        <v>500</v>
      </c>
      <c r="BF8" s="6">
        <v>0</v>
      </c>
      <c r="BG8" s="6">
        <v>500</v>
      </c>
      <c r="BH8" s="6"/>
      <c r="BI8" s="21">
        <f t="shared" si="5"/>
        <v>0</v>
      </c>
      <c r="BJ8" s="6">
        <f t="shared" si="6"/>
        <v>0</v>
      </c>
      <c r="BK8" s="6">
        <f t="shared" si="7"/>
        <v>0</v>
      </c>
      <c r="BL8" s="6">
        <v>500</v>
      </c>
      <c r="BM8" s="6">
        <v>0</v>
      </c>
      <c r="BN8" s="6">
        <v>500</v>
      </c>
      <c r="BO8" s="6"/>
      <c r="BP8" s="21">
        <f t="shared" si="8"/>
        <v>0</v>
      </c>
      <c r="BQ8" s="6">
        <f t="shared" si="9"/>
        <v>0</v>
      </c>
      <c r="BR8" s="6">
        <f t="shared" si="10"/>
        <v>0</v>
      </c>
      <c r="BS8" s="6">
        <v>500</v>
      </c>
      <c r="BT8" s="6">
        <v>0</v>
      </c>
      <c r="BU8" s="6">
        <v>500</v>
      </c>
      <c r="BV8" s="6"/>
      <c r="BW8" s="21">
        <f t="shared" si="11"/>
        <v>0</v>
      </c>
      <c r="BX8" s="6">
        <f t="shared" si="12"/>
        <v>0</v>
      </c>
      <c r="BY8" s="6">
        <f t="shared" si="13"/>
        <v>0</v>
      </c>
      <c r="BZ8" s="6">
        <v>500</v>
      </c>
      <c r="CA8" s="6">
        <v>0</v>
      </c>
      <c r="CB8" s="6">
        <v>500</v>
      </c>
      <c r="CC8" s="6"/>
      <c r="CD8" s="21">
        <f t="shared" si="14"/>
        <v>0</v>
      </c>
      <c r="CE8" s="6">
        <f t="shared" si="15"/>
        <v>0</v>
      </c>
      <c r="CF8" s="6">
        <f t="shared" si="16"/>
        <v>0</v>
      </c>
      <c r="CG8" s="6">
        <v>500</v>
      </c>
      <c r="CH8" s="6"/>
      <c r="CI8" s="6">
        <v>500</v>
      </c>
      <c r="CJ8" s="6"/>
      <c r="CK8" s="5" t="s">
        <v>27</v>
      </c>
      <c r="CL8" s="14">
        <f t="shared" si="17"/>
        <v>0</v>
      </c>
      <c r="CM8" s="14">
        <v>0</v>
      </c>
      <c r="CN8" s="14">
        <v>0</v>
      </c>
      <c r="CO8" s="14"/>
      <c r="CP8" s="14">
        <f>'2019'!CU10</f>
        <v>84532</v>
      </c>
      <c r="CQ8" s="14">
        <f t="shared" ref="CQ8:CQ23" si="20">CP8+F8+M8+T8+AA8+AH8+AO8+AX8+BE8+BL8+BS8+BZ8+CG8</f>
        <v>87532</v>
      </c>
      <c r="CR8" s="14">
        <v>75</v>
      </c>
      <c r="CS8" s="14">
        <f t="shared" si="18"/>
        <v>1591</v>
      </c>
      <c r="CT8" s="41">
        <f t="shared" si="19"/>
        <v>89123</v>
      </c>
      <c r="CU8" s="14">
        <v>0</v>
      </c>
      <c r="CV8" s="14">
        <v>0</v>
      </c>
      <c r="CW8" s="14">
        <v>0</v>
      </c>
      <c r="CX8" s="14">
        <v>0</v>
      </c>
      <c r="CY8" s="14">
        <v>6000</v>
      </c>
    </row>
    <row r="9" spans="1:103">
      <c r="A9" s="5">
        <v>9</v>
      </c>
      <c r="B9" s="5" t="s">
        <v>28</v>
      </c>
      <c r="C9" s="7"/>
      <c r="D9" s="6"/>
      <c r="E9" s="6"/>
      <c r="F9" s="6"/>
      <c r="G9" s="6"/>
      <c r="H9" s="6"/>
      <c r="I9" s="6"/>
      <c r="J9" s="21"/>
      <c r="K9" s="6"/>
      <c r="L9" s="6"/>
      <c r="M9" s="6"/>
      <c r="N9" s="6"/>
      <c r="O9" s="6"/>
      <c r="P9" s="6"/>
      <c r="Q9" s="21"/>
      <c r="R9" s="6"/>
      <c r="S9" s="6"/>
      <c r="T9" s="6"/>
      <c r="U9" s="6"/>
      <c r="V9" s="6"/>
      <c r="W9" s="6"/>
      <c r="X9" s="21"/>
      <c r="Y9" s="6"/>
      <c r="Z9" s="6"/>
      <c r="AA9" s="6"/>
      <c r="AB9" s="6"/>
      <c r="AC9" s="6"/>
      <c r="AD9" s="6"/>
      <c r="AE9" s="21"/>
      <c r="AF9" s="6"/>
      <c r="AG9" s="6"/>
      <c r="AH9" s="6"/>
      <c r="AI9" s="6"/>
      <c r="AJ9" s="6"/>
      <c r="AK9" s="6"/>
      <c r="AL9" s="21"/>
      <c r="AM9" s="6"/>
      <c r="AN9" s="6"/>
      <c r="AO9" s="6"/>
      <c r="AP9" s="6"/>
      <c r="AQ9" s="6"/>
      <c r="AR9" s="6"/>
      <c r="AS9" s="6"/>
      <c r="AT9" s="5" t="s">
        <v>28</v>
      </c>
      <c r="AU9" s="21">
        <f>'2019'!CL11</f>
        <v>239414</v>
      </c>
      <c r="AV9" s="6">
        <f t="shared" si="0"/>
        <v>13303</v>
      </c>
      <c r="AW9" s="6">
        <f t="shared" si="1"/>
        <v>1197</v>
      </c>
      <c r="AX9" s="6">
        <v>500</v>
      </c>
      <c r="AY9" s="6">
        <v>0</v>
      </c>
      <c r="AZ9" s="6">
        <v>15000</v>
      </c>
      <c r="BA9" s="6">
        <v>0</v>
      </c>
      <c r="BB9" s="21">
        <f t="shared" si="2"/>
        <v>226111</v>
      </c>
      <c r="BC9" s="6">
        <f t="shared" si="3"/>
        <v>13369</v>
      </c>
      <c r="BD9" s="6">
        <f t="shared" si="4"/>
        <v>1131</v>
      </c>
      <c r="BE9" s="6">
        <v>500</v>
      </c>
      <c r="BF9" s="6">
        <v>0</v>
      </c>
      <c r="BG9" s="6">
        <v>15000</v>
      </c>
      <c r="BH9" s="6"/>
      <c r="BI9" s="21">
        <f t="shared" si="5"/>
        <v>212742</v>
      </c>
      <c r="BJ9" s="6">
        <f t="shared" si="6"/>
        <v>8436</v>
      </c>
      <c r="BK9" s="6">
        <f t="shared" si="7"/>
        <v>1064</v>
      </c>
      <c r="BL9" s="6">
        <v>500</v>
      </c>
      <c r="BM9" s="6">
        <v>0</v>
      </c>
      <c r="BN9" s="6">
        <v>10000</v>
      </c>
      <c r="BO9" s="6"/>
      <c r="BP9" s="21">
        <f t="shared" si="8"/>
        <v>204306</v>
      </c>
      <c r="BQ9" s="6">
        <f t="shared" si="9"/>
        <v>8478</v>
      </c>
      <c r="BR9" s="6">
        <f t="shared" si="10"/>
        <v>1022</v>
      </c>
      <c r="BS9" s="6">
        <v>500</v>
      </c>
      <c r="BT9" s="6">
        <v>0</v>
      </c>
      <c r="BU9" s="6">
        <v>10000</v>
      </c>
      <c r="BV9" s="6"/>
      <c r="BW9" s="21">
        <f t="shared" si="11"/>
        <v>195828</v>
      </c>
      <c r="BX9" s="6">
        <f t="shared" si="12"/>
        <v>8521</v>
      </c>
      <c r="BY9" s="6">
        <f t="shared" si="13"/>
        <v>979</v>
      </c>
      <c r="BZ9" s="6">
        <v>500</v>
      </c>
      <c r="CA9" s="6">
        <v>0</v>
      </c>
      <c r="CB9" s="6">
        <v>10000</v>
      </c>
      <c r="CC9" s="6">
        <v>0</v>
      </c>
      <c r="CD9" s="21">
        <f t="shared" si="14"/>
        <v>187307</v>
      </c>
      <c r="CE9" s="6">
        <f t="shared" si="15"/>
        <v>8563</v>
      </c>
      <c r="CF9" s="6">
        <f t="shared" si="16"/>
        <v>937</v>
      </c>
      <c r="CG9" s="6">
        <v>500</v>
      </c>
      <c r="CH9" s="6"/>
      <c r="CI9" s="6">
        <v>10000</v>
      </c>
      <c r="CJ9" s="6">
        <v>0</v>
      </c>
      <c r="CK9" s="5" t="s">
        <v>28</v>
      </c>
      <c r="CL9" s="14">
        <f t="shared" si="17"/>
        <v>178744</v>
      </c>
      <c r="CM9" s="14">
        <v>140266</v>
      </c>
      <c r="CN9" s="14">
        <v>0</v>
      </c>
      <c r="CO9" s="14"/>
      <c r="CP9" s="14">
        <f>'2019'!CU11</f>
        <v>84669</v>
      </c>
      <c r="CQ9" s="14">
        <f t="shared" si="20"/>
        <v>87669</v>
      </c>
      <c r="CR9" s="14">
        <v>-72</v>
      </c>
      <c r="CS9" s="14">
        <f t="shared" si="18"/>
        <v>1446</v>
      </c>
      <c r="CT9" s="41">
        <f t="shared" si="19"/>
        <v>89115</v>
      </c>
      <c r="CU9" s="14">
        <v>46589</v>
      </c>
      <c r="CV9" s="14">
        <v>12777</v>
      </c>
      <c r="CW9" s="14">
        <v>145366</v>
      </c>
      <c r="CX9" s="14">
        <v>239097</v>
      </c>
      <c r="CY9" s="14">
        <v>6000</v>
      </c>
    </row>
    <row r="10" spans="1:103">
      <c r="A10" s="5">
        <v>10</v>
      </c>
      <c r="B10" s="5" t="s">
        <v>29</v>
      </c>
      <c r="C10" s="7"/>
      <c r="D10" s="6"/>
      <c r="E10" s="6"/>
      <c r="F10" s="6"/>
      <c r="G10" s="6"/>
      <c r="H10" s="6"/>
      <c r="I10" s="6"/>
      <c r="J10" s="21"/>
      <c r="K10" s="6"/>
      <c r="L10" s="6"/>
      <c r="M10" s="6"/>
      <c r="N10" s="6"/>
      <c r="O10" s="6"/>
      <c r="P10" s="6"/>
      <c r="Q10" s="21"/>
      <c r="R10" s="6"/>
      <c r="S10" s="6"/>
      <c r="T10" s="6"/>
      <c r="U10" s="6"/>
      <c r="V10" s="6"/>
      <c r="W10" s="6"/>
      <c r="X10" s="21"/>
      <c r="Y10" s="6"/>
      <c r="Z10" s="6"/>
      <c r="AA10" s="6"/>
      <c r="AB10" s="6"/>
      <c r="AC10" s="6"/>
      <c r="AD10" s="6"/>
      <c r="AE10" s="21"/>
      <c r="AF10" s="6"/>
      <c r="AG10" s="6"/>
      <c r="AH10" s="6"/>
      <c r="AI10" s="6"/>
      <c r="AJ10" s="6"/>
      <c r="AK10" s="6"/>
      <c r="AL10" s="21"/>
      <c r="AM10" s="6"/>
      <c r="AN10" s="6"/>
      <c r="AO10" s="6"/>
      <c r="AP10" s="6"/>
      <c r="AQ10" s="6"/>
      <c r="AR10" s="6"/>
      <c r="AS10" s="6"/>
      <c r="AT10" s="5" t="s">
        <v>29</v>
      </c>
      <c r="AU10" s="21">
        <f>'2019'!CL12</f>
        <v>176987</v>
      </c>
      <c r="AV10" s="6">
        <f t="shared" si="0"/>
        <v>3115</v>
      </c>
      <c r="AW10" s="6">
        <f t="shared" si="1"/>
        <v>885</v>
      </c>
      <c r="AX10" s="6">
        <v>1000</v>
      </c>
      <c r="AY10" s="6">
        <v>0</v>
      </c>
      <c r="AZ10" s="6">
        <v>5000</v>
      </c>
      <c r="BA10" s="6">
        <v>0</v>
      </c>
      <c r="BB10" s="21">
        <f t="shared" si="2"/>
        <v>173872</v>
      </c>
      <c r="BC10" s="6">
        <f t="shared" si="3"/>
        <v>3131</v>
      </c>
      <c r="BD10" s="6">
        <f t="shared" si="4"/>
        <v>869</v>
      </c>
      <c r="BE10" s="6">
        <v>1000</v>
      </c>
      <c r="BF10" s="6">
        <v>0</v>
      </c>
      <c r="BG10" s="6">
        <v>5000</v>
      </c>
      <c r="BH10" s="6"/>
      <c r="BI10" s="21">
        <f t="shared" si="5"/>
        <v>170741</v>
      </c>
      <c r="BJ10" s="6">
        <f t="shared" si="6"/>
        <v>3146</v>
      </c>
      <c r="BK10" s="6">
        <f t="shared" si="7"/>
        <v>854</v>
      </c>
      <c r="BL10" s="6">
        <v>1000</v>
      </c>
      <c r="BM10" s="6">
        <v>0</v>
      </c>
      <c r="BN10" s="6">
        <v>5000</v>
      </c>
      <c r="BO10" s="6"/>
      <c r="BP10" s="21">
        <f t="shared" si="8"/>
        <v>167595</v>
      </c>
      <c r="BQ10" s="6">
        <f t="shared" si="9"/>
        <v>3162</v>
      </c>
      <c r="BR10" s="6">
        <f t="shared" si="10"/>
        <v>838</v>
      </c>
      <c r="BS10" s="6">
        <v>1000</v>
      </c>
      <c r="BT10" s="6">
        <v>0</v>
      </c>
      <c r="BU10" s="6">
        <v>5000</v>
      </c>
      <c r="BV10" s="6"/>
      <c r="BW10" s="21">
        <f t="shared" si="11"/>
        <v>164433</v>
      </c>
      <c r="BX10" s="6">
        <f t="shared" si="12"/>
        <v>3178</v>
      </c>
      <c r="BY10" s="6">
        <f t="shared" si="13"/>
        <v>822</v>
      </c>
      <c r="BZ10" s="6">
        <v>1000</v>
      </c>
      <c r="CA10" s="6">
        <v>0</v>
      </c>
      <c r="CB10" s="6">
        <v>5000</v>
      </c>
      <c r="CC10" s="6">
        <v>25000</v>
      </c>
      <c r="CD10" s="21">
        <f t="shared" si="14"/>
        <v>186255</v>
      </c>
      <c r="CE10" s="6">
        <f t="shared" si="15"/>
        <v>3069</v>
      </c>
      <c r="CF10" s="6">
        <f t="shared" si="16"/>
        <v>931</v>
      </c>
      <c r="CG10" s="6">
        <v>1000</v>
      </c>
      <c r="CH10" s="6"/>
      <c r="CI10" s="6">
        <v>5000</v>
      </c>
      <c r="CJ10" s="6">
        <v>15000</v>
      </c>
      <c r="CK10" s="5" t="s">
        <v>29</v>
      </c>
      <c r="CL10" s="14">
        <f t="shared" si="17"/>
        <v>198186</v>
      </c>
      <c r="CM10" s="14">
        <v>150361</v>
      </c>
      <c r="CN10" s="14">
        <v>0</v>
      </c>
      <c r="CO10" s="14"/>
      <c r="CP10" s="14">
        <f>'2019'!CU12</f>
        <v>91004</v>
      </c>
      <c r="CQ10" s="14">
        <f t="shared" si="20"/>
        <v>97004</v>
      </c>
      <c r="CR10" s="14">
        <v>-72</v>
      </c>
      <c r="CS10" s="14">
        <f t="shared" si="18"/>
        <v>1608</v>
      </c>
      <c r="CT10" s="41">
        <f t="shared" si="19"/>
        <v>98612</v>
      </c>
      <c r="CU10" s="14">
        <v>60491</v>
      </c>
      <c r="CV10" s="14">
        <v>9147</v>
      </c>
      <c r="CW10" s="14">
        <v>86804</v>
      </c>
      <c r="CX10" s="14">
        <v>176675</v>
      </c>
      <c r="CY10" s="14">
        <v>12000</v>
      </c>
    </row>
    <row r="11" spans="1:103">
      <c r="A11" s="5">
        <v>11</v>
      </c>
      <c r="B11" s="5" t="s">
        <v>30</v>
      </c>
      <c r="C11" s="7"/>
      <c r="D11" s="6"/>
      <c r="E11" s="6"/>
      <c r="F11" s="6"/>
      <c r="G11" s="6"/>
      <c r="H11" s="6"/>
      <c r="I11" s="6"/>
      <c r="J11" s="21"/>
      <c r="K11" s="6"/>
      <c r="L11" s="6"/>
      <c r="M11" s="6"/>
      <c r="N11" s="6"/>
      <c r="O11" s="6"/>
      <c r="P11" s="6"/>
      <c r="Q11" s="21"/>
      <c r="R11" s="6"/>
      <c r="S11" s="6"/>
      <c r="T11" s="6"/>
      <c r="U11" s="6"/>
      <c r="V11" s="6"/>
      <c r="W11" s="6"/>
      <c r="X11" s="21"/>
      <c r="Y11" s="6"/>
      <c r="Z11" s="6"/>
      <c r="AA11" s="6"/>
      <c r="AB11" s="6"/>
      <c r="AC11" s="6"/>
      <c r="AD11" s="6"/>
      <c r="AE11" s="21"/>
      <c r="AF11" s="6"/>
      <c r="AG11" s="6"/>
      <c r="AH11" s="6"/>
      <c r="AI11" s="6"/>
      <c r="AJ11" s="6"/>
      <c r="AK11" s="6"/>
      <c r="AL11" s="21"/>
      <c r="AM11" s="6"/>
      <c r="AN11" s="6"/>
      <c r="AO11" s="6"/>
      <c r="AP11" s="6"/>
      <c r="AQ11" s="6"/>
      <c r="AR11" s="6"/>
      <c r="AS11" s="6"/>
      <c r="AT11" s="5" t="s">
        <v>30</v>
      </c>
      <c r="AU11" s="21">
        <f>'2019'!CL13</f>
        <v>0</v>
      </c>
      <c r="AV11" s="6">
        <f t="shared" si="0"/>
        <v>0</v>
      </c>
      <c r="AW11" s="6">
        <f t="shared" si="1"/>
        <v>0</v>
      </c>
      <c r="AX11" s="6">
        <v>7000</v>
      </c>
      <c r="AY11" s="6">
        <v>0</v>
      </c>
      <c r="AZ11" s="6">
        <v>7000</v>
      </c>
      <c r="BA11" s="6">
        <v>0</v>
      </c>
      <c r="BB11" s="21">
        <f t="shared" si="2"/>
        <v>0</v>
      </c>
      <c r="BC11" s="6">
        <f t="shared" si="3"/>
        <v>0</v>
      </c>
      <c r="BD11" s="6">
        <f t="shared" si="4"/>
        <v>0</v>
      </c>
      <c r="BE11" s="6">
        <v>10000</v>
      </c>
      <c r="BF11" s="6">
        <v>0</v>
      </c>
      <c r="BG11" s="6">
        <v>10000</v>
      </c>
      <c r="BH11" s="6"/>
      <c r="BI11" s="21">
        <f t="shared" si="5"/>
        <v>0</v>
      </c>
      <c r="BJ11" s="6">
        <f t="shared" si="6"/>
        <v>0</v>
      </c>
      <c r="BK11" s="6">
        <f t="shared" si="7"/>
        <v>0</v>
      </c>
      <c r="BL11" s="6">
        <v>10000</v>
      </c>
      <c r="BM11" s="6">
        <v>0</v>
      </c>
      <c r="BN11" s="6">
        <v>10000</v>
      </c>
      <c r="BO11" s="6"/>
      <c r="BP11" s="21">
        <f t="shared" si="8"/>
        <v>0</v>
      </c>
      <c r="BQ11" s="6">
        <f t="shared" si="9"/>
        <v>0</v>
      </c>
      <c r="BR11" s="6">
        <f t="shared" si="10"/>
        <v>0</v>
      </c>
      <c r="BS11" s="6">
        <v>10000</v>
      </c>
      <c r="BT11" s="6">
        <v>0</v>
      </c>
      <c r="BU11" s="6">
        <v>10000</v>
      </c>
      <c r="BV11" s="6"/>
      <c r="BW11" s="21">
        <f t="shared" si="11"/>
        <v>0</v>
      </c>
      <c r="BX11" s="6">
        <f t="shared" si="12"/>
        <v>0</v>
      </c>
      <c r="BY11" s="6">
        <f t="shared" si="13"/>
        <v>0</v>
      </c>
      <c r="BZ11" s="6">
        <v>10000</v>
      </c>
      <c r="CA11" s="6">
        <v>0</v>
      </c>
      <c r="CB11" s="6">
        <v>10000</v>
      </c>
      <c r="CC11" s="6"/>
      <c r="CD11" s="21">
        <f t="shared" si="14"/>
        <v>0</v>
      </c>
      <c r="CE11" s="6">
        <f t="shared" si="15"/>
        <v>0</v>
      </c>
      <c r="CF11" s="6">
        <f t="shared" si="16"/>
        <v>0</v>
      </c>
      <c r="CG11" s="6">
        <v>13000</v>
      </c>
      <c r="CH11" s="6"/>
      <c r="CI11" s="6">
        <v>13000</v>
      </c>
      <c r="CJ11" s="6"/>
      <c r="CK11" s="5" t="s">
        <v>30</v>
      </c>
      <c r="CL11" s="14">
        <f t="shared" si="17"/>
        <v>0</v>
      </c>
      <c r="CM11" s="14">
        <v>0</v>
      </c>
      <c r="CN11" s="14">
        <v>0</v>
      </c>
      <c r="CO11" s="14"/>
      <c r="CP11" s="14">
        <f>'2019'!CU13</f>
        <v>253003</v>
      </c>
      <c r="CQ11" s="14">
        <f>CP11+F11+M11+T11+AA11+AH11+AO11+AX11+BE11+BL11+BS11+BZ11+CG11</f>
        <v>313003</v>
      </c>
      <c r="CR11" s="14">
        <v>150</v>
      </c>
      <c r="CS11" s="14">
        <f t="shared" si="18"/>
        <v>5571</v>
      </c>
      <c r="CT11" s="41">
        <f t="shared" si="19"/>
        <v>318574</v>
      </c>
      <c r="CU11" s="14">
        <v>0</v>
      </c>
      <c r="CV11" s="14">
        <v>0</v>
      </c>
      <c r="CW11" s="14">
        <v>0</v>
      </c>
      <c r="CX11" s="14">
        <v>0</v>
      </c>
      <c r="CY11" s="14">
        <v>84000</v>
      </c>
    </row>
    <row r="12" spans="1:103">
      <c r="A12" s="5">
        <v>12</v>
      </c>
      <c r="B12" s="5" t="s">
        <v>31</v>
      </c>
      <c r="C12" s="7"/>
      <c r="D12" s="6"/>
      <c r="E12" s="6"/>
      <c r="F12" s="6"/>
      <c r="G12" s="6"/>
      <c r="H12" s="6"/>
      <c r="I12" s="6"/>
      <c r="J12" s="21"/>
      <c r="K12" s="6"/>
      <c r="L12" s="6"/>
      <c r="M12" s="6"/>
      <c r="N12" s="6"/>
      <c r="O12" s="6"/>
      <c r="P12" s="6"/>
      <c r="Q12" s="21"/>
      <c r="R12" s="6"/>
      <c r="S12" s="6"/>
      <c r="T12" s="6"/>
      <c r="U12" s="6"/>
      <c r="V12" s="6"/>
      <c r="W12" s="6"/>
      <c r="X12" s="21"/>
      <c r="Y12" s="6"/>
      <c r="Z12" s="6"/>
      <c r="AA12" s="6"/>
      <c r="AB12" s="6"/>
      <c r="AC12" s="6"/>
      <c r="AD12" s="6"/>
      <c r="AE12" s="21"/>
      <c r="AF12" s="6"/>
      <c r="AG12" s="6"/>
      <c r="AH12" s="6"/>
      <c r="AI12" s="6"/>
      <c r="AJ12" s="6"/>
      <c r="AK12" s="6"/>
      <c r="AL12" s="21"/>
      <c r="AM12" s="6"/>
      <c r="AN12" s="6"/>
      <c r="AO12" s="6"/>
      <c r="AP12" s="6"/>
      <c r="AQ12" s="6"/>
      <c r="AR12" s="6"/>
      <c r="AS12" s="6"/>
      <c r="AT12" s="5" t="s">
        <v>31</v>
      </c>
      <c r="AU12" s="21">
        <f>'2019'!CL14</f>
        <v>89545</v>
      </c>
      <c r="AV12" s="6">
        <f t="shared" si="0"/>
        <v>2552</v>
      </c>
      <c r="AW12" s="6">
        <f t="shared" si="1"/>
        <v>448</v>
      </c>
      <c r="AX12" s="6">
        <v>1000</v>
      </c>
      <c r="AY12" s="6">
        <v>1000</v>
      </c>
      <c r="AZ12" s="6">
        <v>5000</v>
      </c>
      <c r="BA12" s="6">
        <v>0</v>
      </c>
      <c r="BB12" s="21">
        <f t="shared" si="2"/>
        <v>86993</v>
      </c>
      <c r="BC12" s="6">
        <f t="shared" si="3"/>
        <v>2565</v>
      </c>
      <c r="BD12" s="6">
        <f t="shared" si="4"/>
        <v>435</v>
      </c>
      <c r="BE12" s="6">
        <v>1000</v>
      </c>
      <c r="BF12" s="6">
        <v>1000</v>
      </c>
      <c r="BG12" s="6">
        <v>5000</v>
      </c>
      <c r="BH12" s="6">
        <v>0</v>
      </c>
      <c r="BI12" s="21">
        <f t="shared" si="5"/>
        <v>84428</v>
      </c>
      <c r="BJ12" s="6">
        <v>0</v>
      </c>
      <c r="BK12" s="6">
        <f t="shared" si="7"/>
        <v>422</v>
      </c>
      <c r="BL12" s="6">
        <v>1000</v>
      </c>
      <c r="BM12" s="6">
        <v>1000</v>
      </c>
      <c r="BN12" s="6">
        <v>2423</v>
      </c>
      <c r="BO12" s="6">
        <v>2423</v>
      </c>
      <c r="BP12" s="21">
        <f t="shared" si="8"/>
        <v>86851</v>
      </c>
      <c r="BQ12" s="6">
        <v>0</v>
      </c>
      <c r="BR12" s="6">
        <f t="shared" si="10"/>
        <v>434</v>
      </c>
      <c r="BS12" s="6">
        <v>1000</v>
      </c>
      <c r="BT12" s="6">
        <v>1000</v>
      </c>
      <c r="BU12" s="6">
        <v>2435</v>
      </c>
      <c r="BV12" s="6">
        <v>17435</v>
      </c>
      <c r="BW12" s="21">
        <f t="shared" si="11"/>
        <v>104286</v>
      </c>
      <c r="BX12" s="6">
        <v>0</v>
      </c>
      <c r="BY12" s="6">
        <f t="shared" si="13"/>
        <v>521</v>
      </c>
      <c r="BZ12" s="6">
        <v>1000</v>
      </c>
      <c r="CA12" s="6">
        <v>1000</v>
      </c>
      <c r="CB12" s="21">
        <v>2521</v>
      </c>
      <c r="CC12" s="6">
        <v>2521</v>
      </c>
      <c r="CD12" s="21">
        <f t="shared" si="14"/>
        <v>106807</v>
      </c>
      <c r="CE12" s="6">
        <f t="shared" si="15"/>
        <v>8466</v>
      </c>
      <c r="CF12" s="6">
        <f t="shared" si="16"/>
        <v>534</v>
      </c>
      <c r="CG12" s="6">
        <v>1000</v>
      </c>
      <c r="CH12" s="6"/>
      <c r="CI12" s="6">
        <v>10000</v>
      </c>
      <c r="CJ12" s="6"/>
      <c r="CK12" s="5" t="s">
        <v>31</v>
      </c>
      <c r="CL12" s="14">
        <f t="shared" si="17"/>
        <v>98341</v>
      </c>
      <c r="CM12" s="14">
        <v>112486</v>
      </c>
      <c r="CN12" s="14">
        <v>5000</v>
      </c>
      <c r="CO12" s="14"/>
      <c r="CP12" s="14">
        <f>'2019'!CU14</f>
        <v>67419</v>
      </c>
      <c r="CQ12" s="14">
        <f t="shared" si="20"/>
        <v>73419</v>
      </c>
      <c r="CR12" s="14">
        <v>-72</v>
      </c>
      <c r="CS12" s="14">
        <f t="shared" si="18"/>
        <v>1200</v>
      </c>
      <c r="CT12" s="41">
        <f t="shared" si="19"/>
        <v>74619</v>
      </c>
      <c r="CU12" s="14">
        <v>36309</v>
      </c>
      <c r="CV12" s="14">
        <v>6296</v>
      </c>
      <c r="CW12" s="14">
        <v>10555</v>
      </c>
      <c r="CX12" s="14">
        <v>86790</v>
      </c>
      <c r="CY12" s="14">
        <v>12000</v>
      </c>
    </row>
    <row r="13" spans="1:103">
      <c r="A13" s="5">
        <v>13</v>
      </c>
      <c r="B13" s="5" t="s">
        <v>32</v>
      </c>
      <c r="C13" s="7"/>
      <c r="D13" s="6"/>
      <c r="E13" s="6"/>
      <c r="F13" s="6"/>
      <c r="G13" s="6"/>
      <c r="H13" s="6"/>
      <c r="I13" s="6"/>
      <c r="J13" s="21"/>
      <c r="K13" s="6"/>
      <c r="L13" s="6"/>
      <c r="M13" s="6"/>
      <c r="N13" s="6"/>
      <c r="O13" s="6"/>
      <c r="P13" s="6"/>
      <c r="Q13" s="21"/>
      <c r="R13" s="6"/>
      <c r="S13" s="6"/>
      <c r="T13" s="6"/>
      <c r="U13" s="6"/>
      <c r="V13" s="6"/>
      <c r="W13" s="6"/>
      <c r="X13" s="21"/>
      <c r="Y13" s="6"/>
      <c r="Z13" s="6"/>
      <c r="AA13" s="6"/>
      <c r="AB13" s="6"/>
      <c r="AC13" s="6"/>
      <c r="AD13" s="6"/>
      <c r="AE13" s="21"/>
      <c r="AF13" s="6"/>
      <c r="AG13" s="6"/>
      <c r="AH13" s="6"/>
      <c r="AI13" s="6"/>
      <c r="AJ13" s="6"/>
      <c r="AK13" s="6"/>
      <c r="AL13" s="21"/>
      <c r="AM13" s="6"/>
      <c r="AN13" s="6"/>
      <c r="AO13" s="6"/>
      <c r="AP13" s="6"/>
      <c r="AQ13" s="6"/>
      <c r="AR13" s="6"/>
      <c r="AS13" s="6"/>
      <c r="AT13" s="5" t="s">
        <v>32</v>
      </c>
      <c r="AU13" s="21">
        <f>'2019'!CL15</f>
        <v>77757</v>
      </c>
      <c r="AV13" s="6">
        <f>AZ13-(AW13+AX13+AY13)</f>
        <v>3611</v>
      </c>
      <c r="AW13" s="6">
        <f t="shared" si="1"/>
        <v>389</v>
      </c>
      <c r="AX13" s="6">
        <v>1000</v>
      </c>
      <c r="AY13" s="6">
        <v>0</v>
      </c>
      <c r="AZ13" s="6">
        <v>5000</v>
      </c>
      <c r="BA13" s="6">
        <v>0</v>
      </c>
      <c r="BB13" s="21">
        <f t="shared" si="2"/>
        <v>74146</v>
      </c>
      <c r="BC13" s="6">
        <f t="shared" si="3"/>
        <v>3629</v>
      </c>
      <c r="BD13" s="6">
        <f t="shared" si="4"/>
        <v>371</v>
      </c>
      <c r="BE13" s="6">
        <v>1000</v>
      </c>
      <c r="BF13" s="6">
        <v>0</v>
      </c>
      <c r="BG13" s="6">
        <v>5000</v>
      </c>
      <c r="BH13" s="6"/>
      <c r="BI13" s="21">
        <f t="shared" si="5"/>
        <v>70517</v>
      </c>
      <c r="BJ13" s="6">
        <f t="shared" si="6"/>
        <v>3647</v>
      </c>
      <c r="BK13" s="6">
        <f t="shared" si="7"/>
        <v>353</v>
      </c>
      <c r="BL13" s="6">
        <v>1000</v>
      </c>
      <c r="BM13" s="6">
        <v>0</v>
      </c>
      <c r="BN13" s="6">
        <v>5000</v>
      </c>
      <c r="BO13" s="6"/>
      <c r="BP13" s="21">
        <f t="shared" si="8"/>
        <v>66870</v>
      </c>
      <c r="BQ13" s="6">
        <f t="shared" si="9"/>
        <v>3666</v>
      </c>
      <c r="BR13" s="6">
        <f t="shared" si="10"/>
        <v>334</v>
      </c>
      <c r="BS13" s="6">
        <v>1000</v>
      </c>
      <c r="BT13" s="6">
        <v>0</v>
      </c>
      <c r="BU13" s="6">
        <v>5000</v>
      </c>
      <c r="BV13" s="6"/>
      <c r="BW13" s="21">
        <f t="shared" si="11"/>
        <v>63204</v>
      </c>
      <c r="BX13" s="6">
        <f t="shared" si="12"/>
        <v>0</v>
      </c>
      <c r="BY13" s="6">
        <f t="shared" si="13"/>
        <v>316</v>
      </c>
      <c r="BZ13" s="6">
        <v>1000</v>
      </c>
      <c r="CA13" s="6">
        <v>0</v>
      </c>
      <c r="CB13" s="6">
        <v>1316</v>
      </c>
      <c r="CC13" s="6">
        <v>1316</v>
      </c>
      <c r="CD13" s="21">
        <f t="shared" si="14"/>
        <v>64520</v>
      </c>
      <c r="CE13" s="6">
        <f t="shared" si="15"/>
        <v>3677</v>
      </c>
      <c r="CF13" s="6">
        <f t="shared" si="16"/>
        <v>323</v>
      </c>
      <c r="CG13" s="6">
        <v>1000</v>
      </c>
      <c r="CH13" s="6"/>
      <c r="CI13" s="6">
        <v>5000</v>
      </c>
      <c r="CJ13" s="6"/>
      <c r="CK13" s="5" t="s">
        <v>32</v>
      </c>
      <c r="CL13" s="14">
        <f t="shared" si="17"/>
        <v>60843</v>
      </c>
      <c r="CM13" s="14">
        <v>109188</v>
      </c>
      <c r="CN13" s="14">
        <v>0</v>
      </c>
      <c r="CO13" s="14">
        <v>10000</v>
      </c>
      <c r="CP13" s="14">
        <f>'2019'!CU15</f>
        <v>69624</v>
      </c>
      <c r="CQ13" s="14">
        <f t="shared" si="20"/>
        <v>75624</v>
      </c>
      <c r="CR13" s="14">
        <v>-72</v>
      </c>
      <c r="CS13" s="14">
        <f t="shared" si="18"/>
        <v>1238</v>
      </c>
      <c r="CT13" s="41">
        <f t="shared" si="19"/>
        <v>76862</v>
      </c>
      <c r="CU13" s="14">
        <v>38804</v>
      </c>
      <c r="CV13" s="14">
        <v>5752</v>
      </c>
      <c r="CW13" s="14">
        <v>6956</v>
      </c>
      <c r="CX13" s="14">
        <v>77392</v>
      </c>
      <c r="CY13" s="14">
        <v>12000</v>
      </c>
    </row>
    <row r="14" spans="1:103">
      <c r="A14" s="5">
        <v>14</v>
      </c>
      <c r="B14" s="5" t="s">
        <v>33</v>
      </c>
      <c r="C14" s="7"/>
      <c r="D14" s="6"/>
      <c r="E14" s="6"/>
      <c r="F14" s="6"/>
      <c r="G14" s="6"/>
      <c r="H14" s="6"/>
      <c r="I14" s="6"/>
      <c r="J14" s="21"/>
      <c r="K14" s="6"/>
      <c r="L14" s="6"/>
      <c r="M14" s="6"/>
      <c r="N14" s="6"/>
      <c r="O14" s="6"/>
      <c r="P14" s="6"/>
      <c r="Q14" s="21"/>
      <c r="R14" s="6"/>
      <c r="S14" s="6"/>
      <c r="T14" s="6"/>
      <c r="U14" s="6"/>
      <c r="V14" s="6"/>
      <c r="W14" s="6"/>
      <c r="X14" s="21"/>
      <c r="Y14" s="6"/>
      <c r="Z14" s="6"/>
      <c r="AA14" s="6"/>
      <c r="AB14" s="6"/>
      <c r="AC14" s="6"/>
      <c r="AD14" s="6"/>
      <c r="AE14" s="21"/>
      <c r="AF14" s="6"/>
      <c r="AG14" s="6"/>
      <c r="AH14" s="6"/>
      <c r="AI14" s="6"/>
      <c r="AJ14" s="6"/>
      <c r="AK14" s="6"/>
      <c r="AL14" s="21"/>
      <c r="AM14" s="6"/>
      <c r="AN14" s="6"/>
      <c r="AO14" s="6"/>
      <c r="AP14" s="6"/>
      <c r="AQ14" s="6"/>
      <c r="AR14" s="6"/>
      <c r="AS14" s="6"/>
      <c r="AT14" s="5" t="s">
        <v>33</v>
      </c>
      <c r="AU14" s="21">
        <f>'2019'!CL16</f>
        <v>71966</v>
      </c>
      <c r="AV14" s="6">
        <f>AZ14-(AW14+AX14+AY14)</f>
        <v>0</v>
      </c>
      <c r="AW14" s="6">
        <f t="shared" si="1"/>
        <v>360</v>
      </c>
      <c r="AX14" s="6">
        <v>1000</v>
      </c>
      <c r="AY14" s="6">
        <v>1000</v>
      </c>
      <c r="AZ14" s="6">
        <v>2360</v>
      </c>
      <c r="BA14" s="6">
        <v>2360</v>
      </c>
      <c r="BB14" s="21">
        <f t="shared" si="2"/>
        <v>74326</v>
      </c>
      <c r="BC14" s="6">
        <f t="shared" si="3"/>
        <v>0</v>
      </c>
      <c r="BD14" s="6">
        <f t="shared" si="4"/>
        <v>372</v>
      </c>
      <c r="BE14" s="6">
        <v>1000</v>
      </c>
      <c r="BF14" s="6">
        <v>1000</v>
      </c>
      <c r="BG14" s="6">
        <v>2372</v>
      </c>
      <c r="BH14" s="6">
        <v>2372</v>
      </c>
      <c r="BI14" s="21">
        <f t="shared" si="5"/>
        <v>76698</v>
      </c>
      <c r="BJ14" s="6">
        <f t="shared" si="6"/>
        <v>0</v>
      </c>
      <c r="BK14" s="6">
        <f t="shared" si="7"/>
        <v>383</v>
      </c>
      <c r="BL14" s="6">
        <v>1000</v>
      </c>
      <c r="BM14" s="6">
        <v>1000</v>
      </c>
      <c r="BN14" s="6">
        <v>2383</v>
      </c>
      <c r="BO14" s="6">
        <v>2383</v>
      </c>
      <c r="BP14" s="21">
        <f t="shared" si="8"/>
        <v>79081</v>
      </c>
      <c r="BQ14" s="6">
        <f t="shared" si="9"/>
        <v>0</v>
      </c>
      <c r="BR14" s="6">
        <f t="shared" si="10"/>
        <v>395</v>
      </c>
      <c r="BS14" s="6">
        <v>1000</v>
      </c>
      <c r="BT14" s="6">
        <v>1000</v>
      </c>
      <c r="BU14" s="6">
        <v>2395</v>
      </c>
      <c r="BV14" s="6">
        <v>2395</v>
      </c>
      <c r="BW14" s="21">
        <f t="shared" si="11"/>
        <v>81476</v>
      </c>
      <c r="BX14" s="6">
        <f t="shared" si="12"/>
        <v>0</v>
      </c>
      <c r="BY14" s="6">
        <f t="shared" si="13"/>
        <v>407</v>
      </c>
      <c r="BZ14" s="6">
        <v>1000</v>
      </c>
      <c r="CA14" s="6">
        <v>1000</v>
      </c>
      <c r="CB14" s="6">
        <v>2407</v>
      </c>
      <c r="CC14" s="6">
        <v>2407</v>
      </c>
      <c r="CD14" s="21">
        <f t="shared" si="14"/>
        <v>83883</v>
      </c>
      <c r="CE14" s="6">
        <f t="shared" si="15"/>
        <v>0</v>
      </c>
      <c r="CF14" s="6">
        <f t="shared" si="16"/>
        <v>419</v>
      </c>
      <c r="CG14" s="6">
        <v>1000</v>
      </c>
      <c r="CH14" s="6"/>
      <c r="CI14" s="6">
        <v>1419</v>
      </c>
      <c r="CJ14" s="6">
        <v>1419</v>
      </c>
      <c r="CK14" s="5" t="s">
        <v>33</v>
      </c>
      <c r="CL14" s="14">
        <f t="shared" si="17"/>
        <v>85302</v>
      </c>
      <c r="CM14" s="14">
        <v>56114</v>
      </c>
      <c r="CN14" s="14">
        <v>5000</v>
      </c>
      <c r="CO14" s="14">
        <v>5000</v>
      </c>
      <c r="CP14" s="14">
        <f>'2019'!CU16</f>
        <v>63905</v>
      </c>
      <c r="CQ14" s="14">
        <f t="shared" si="20"/>
        <v>69905</v>
      </c>
      <c r="CR14" s="14">
        <v>-72</v>
      </c>
      <c r="CS14" s="14">
        <f t="shared" si="18"/>
        <v>1139</v>
      </c>
      <c r="CT14" s="41">
        <f t="shared" si="19"/>
        <v>71044</v>
      </c>
      <c r="CU14" s="14">
        <v>25172</v>
      </c>
      <c r="CV14" s="14">
        <v>1927</v>
      </c>
      <c r="CW14" s="14">
        <v>52099</v>
      </c>
      <c r="CX14" s="14">
        <v>71939</v>
      </c>
      <c r="CY14" s="14">
        <v>12000</v>
      </c>
    </row>
    <row r="15" spans="1:103">
      <c r="A15" s="5">
        <v>15</v>
      </c>
      <c r="B15" s="5" t="s">
        <v>34</v>
      </c>
      <c r="C15" s="7"/>
      <c r="D15" s="6"/>
      <c r="E15" s="6"/>
      <c r="F15" s="6"/>
      <c r="G15" s="6"/>
      <c r="H15" s="6"/>
      <c r="I15" s="6"/>
      <c r="J15" s="21"/>
      <c r="K15" s="6"/>
      <c r="L15" s="6"/>
      <c r="M15" s="6"/>
      <c r="N15" s="6"/>
      <c r="O15" s="6"/>
      <c r="P15" s="6"/>
      <c r="Q15" s="21"/>
      <c r="R15" s="6"/>
      <c r="S15" s="6"/>
      <c r="T15" s="6"/>
      <c r="U15" s="6"/>
      <c r="V15" s="6"/>
      <c r="W15" s="6"/>
      <c r="X15" s="21"/>
      <c r="Y15" s="6"/>
      <c r="Z15" s="6"/>
      <c r="AA15" s="6"/>
      <c r="AB15" s="6"/>
      <c r="AC15" s="6"/>
      <c r="AD15" s="6"/>
      <c r="AE15" s="21"/>
      <c r="AF15" s="6"/>
      <c r="AG15" s="6"/>
      <c r="AH15" s="6"/>
      <c r="AI15" s="6"/>
      <c r="AJ15" s="6"/>
      <c r="AK15" s="6"/>
      <c r="AL15" s="21"/>
      <c r="AM15" s="6"/>
      <c r="AN15" s="6"/>
      <c r="AO15" s="6"/>
      <c r="AP15" s="6"/>
      <c r="AQ15" s="6"/>
      <c r="AR15" s="6"/>
      <c r="AS15" s="6"/>
      <c r="AT15" s="5" t="s">
        <v>34</v>
      </c>
      <c r="AU15" s="21">
        <f>'2019'!CL17</f>
        <v>0</v>
      </c>
      <c r="AV15" s="6">
        <f t="shared" si="0"/>
        <v>0</v>
      </c>
      <c r="AW15" s="6">
        <f t="shared" si="1"/>
        <v>0</v>
      </c>
      <c r="AX15" s="6">
        <v>1000</v>
      </c>
      <c r="AY15" s="6">
        <v>1000</v>
      </c>
      <c r="AZ15" s="6">
        <v>2000</v>
      </c>
      <c r="BA15" s="6">
        <v>0</v>
      </c>
      <c r="BB15" s="21">
        <f t="shared" si="2"/>
        <v>0</v>
      </c>
      <c r="BC15" s="6">
        <f t="shared" si="3"/>
        <v>0</v>
      </c>
      <c r="BD15" s="6">
        <f t="shared" si="4"/>
        <v>0</v>
      </c>
      <c r="BE15" s="6">
        <v>1000</v>
      </c>
      <c r="BF15" s="6">
        <v>1000</v>
      </c>
      <c r="BG15" s="6">
        <v>2000</v>
      </c>
      <c r="BH15" s="6"/>
      <c r="BI15" s="21">
        <f t="shared" si="5"/>
        <v>0</v>
      </c>
      <c r="BJ15" s="6">
        <f t="shared" si="6"/>
        <v>0</v>
      </c>
      <c r="BK15" s="6">
        <f t="shared" si="7"/>
        <v>0</v>
      </c>
      <c r="BL15" s="6">
        <v>1000</v>
      </c>
      <c r="BM15" s="6">
        <v>1000</v>
      </c>
      <c r="BN15" s="6">
        <v>2000</v>
      </c>
      <c r="BO15" s="6"/>
      <c r="BP15" s="21">
        <f t="shared" si="8"/>
        <v>0</v>
      </c>
      <c r="BQ15" s="6">
        <f t="shared" si="9"/>
        <v>0</v>
      </c>
      <c r="BR15" s="6">
        <f t="shared" si="10"/>
        <v>0</v>
      </c>
      <c r="BS15" s="6">
        <v>1000</v>
      </c>
      <c r="BT15" s="6">
        <v>1000</v>
      </c>
      <c r="BU15" s="6">
        <v>2000</v>
      </c>
      <c r="BV15" s="6"/>
      <c r="BW15" s="21">
        <f t="shared" si="11"/>
        <v>0</v>
      </c>
      <c r="BX15" s="6">
        <f t="shared" si="12"/>
        <v>0</v>
      </c>
      <c r="BY15" s="6">
        <f t="shared" si="13"/>
        <v>0</v>
      </c>
      <c r="BZ15" s="6">
        <v>1000</v>
      </c>
      <c r="CA15" s="6">
        <v>1000</v>
      </c>
      <c r="CB15" s="6">
        <v>2000</v>
      </c>
      <c r="CC15" s="6"/>
      <c r="CD15" s="21">
        <f t="shared" si="14"/>
        <v>0</v>
      </c>
      <c r="CE15" s="6">
        <f t="shared" si="15"/>
        <v>0</v>
      </c>
      <c r="CF15" s="6">
        <f t="shared" si="16"/>
        <v>0</v>
      </c>
      <c r="CG15" s="6">
        <v>1000</v>
      </c>
      <c r="CH15" s="6"/>
      <c r="CI15" s="6">
        <v>1000</v>
      </c>
      <c r="CJ15" s="6"/>
      <c r="CK15" s="5" t="s">
        <v>34</v>
      </c>
      <c r="CL15" s="14">
        <f t="shared" si="17"/>
        <v>0</v>
      </c>
      <c r="CM15" s="14">
        <v>40476</v>
      </c>
      <c r="CN15" s="14">
        <v>5000</v>
      </c>
      <c r="CO15" s="14">
        <v>5000</v>
      </c>
      <c r="CP15" s="14">
        <f>'2019'!CU17</f>
        <v>61863</v>
      </c>
      <c r="CQ15" s="14">
        <f t="shared" si="20"/>
        <v>67863</v>
      </c>
      <c r="CR15" s="14">
        <v>2</v>
      </c>
      <c r="CS15" s="14">
        <f t="shared" si="18"/>
        <v>1177</v>
      </c>
      <c r="CT15" s="41">
        <f t="shared" si="19"/>
        <v>69040</v>
      </c>
      <c r="CU15" s="14">
        <v>40482</v>
      </c>
      <c r="CV15" s="14">
        <v>970</v>
      </c>
      <c r="CW15" s="14">
        <v>0</v>
      </c>
      <c r="CX15" s="14">
        <v>0</v>
      </c>
      <c r="CY15" s="14">
        <v>13248</v>
      </c>
    </row>
    <row r="16" spans="1:103">
      <c r="A16" s="5">
        <v>16</v>
      </c>
      <c r="B16" s="5" t="s">
        <v>35</v>
      </c>
      <c r="C16" s="7"/>
      <c r="D16" s="6"/>
      <c r="E16" s="6"/>
      <c r="F16" s="6"/>
      <c r="G16" s="6"/>
      <c r="H16" s="6"/>
      <c r="I16" s="6"/>
      <c r="J16" s="21"/>
      <c r="K16" s="6"/>
      <c r="L16" s="6"/>
      <c r="M16" s="6"/>
      <c r="N16" s="6"/>
      <c r="O16" s="6"/>
      <c r="P16" s="6"/>
      <c r="Q16" s="21"/>
      <c r="R16" s="6"/>
      <c r="S16" s="6"/>
      <c r="T16" s="6"/>
      <c r="U16" s="6"/>
      <c r="V16" s="6"/>
      <c r="W16" s="6"/>
      <c r="X16" s="21"/>
      <c r="Y16" s="6"/>
      <c r="Z16" s="6"/>
      <c r="AA16" s="6"/>
      <c r="AB16" s="6"/>
      <c r="AC16" s="6"/>
      <c r="AD16" s="6"/>
      <c r="AE16" s="21"/>
      <c r="AF16" s="6"/>
      <c r="AG16" s="6"/>
      <c r="AH16" s="6"/>
      <c r="AI16" s="6"/>
      <c r="AJ16" s="6"/>
      <c r="AK16" s="6"/>
      <c r="AL16" s="21"/>
      <c r="AM16" s="6"/>
      <c r="AN16" s="6"/>
      <c r="AO16" s="6"/>
      <c r="AP16" s="6"/>
      <c r="AQ16" s="6"/>
      <c r="AR16" s="6"/>
      <c r="AS16" s="6"/>
      <c r="AT16" s="5" t="s">
        <v>35</v>
      </c>
      <c r="AU16" s="21">
        <f>'2019'!CL18</f>
        <v>0</v>
      </c>
      <c r="AV16" s="6">
        <f t="shared" si="0"/>
        <v>0</v>
      </c>
      <c r="AW16" s="6">
        <f t="shared" si="1"/>
        <v>0</v>
      </c>
      <c r="AX16" s="6">
        <v>1000</v>
      </c>
      <c r="AY16" s="6">
        <v>0</v>
      </c>
      <c r="AZ16" s="6">
        <v>1000</v>
      </c>
      <c r="BA16" s="6">
        <v>0</v>
      </c>
      <c r="BB16" s="21">
        <f t="shared" si="2"/>
        <v>0</v>
      </c>
      <c r="BC16" s="6">
        <f t="shared" si="3"/>
        <v>0</v>
      </c>
      <c r="BD16" s="6">
        <f t="shared" si="4"/>
        <v>0</v>
      </c>
      <c r="BE16" s="6">
        <v>1000</v>
      </c>
      <c r="BF16" s="6">
        <v>0</v>
      </c>
      <c r="BG16" s="6">
        <v>1000</v>
      </c>
      <c r="BH16" s="6"/>
      <c r="BI16" s="21">
        <f t="shared" si="5"/>
        <v>0</v>
      </c>
      <c r="BJ16" s="6">
        <f t="shared" si="6"/>
        <v>0</v>
      </c>
      <c r="BK16" s="6">
        <f t="shared" si="7"/>
        <v>0</v>
      </c>
      <c r="BL16" s="6">
        <v>1000</v>
      </c>
      <c r="BM16" s="6">
        <v>0</v>
      </c>
      <c r="BN16" s="6">
        <v>1000</v>
      </c>
      <c r="BO16" s="6"/>
      <c r="BP16" s="21">
        <f t="shared" si="8"/>
        <v>0</v>
      </c>
      <c r="BQ16" s="6">
        <f t="shared" si="9"/>
        <v>0</v>
      </c>
      <c r="BR16" s="6">
        <f t="shared" si="10"/>
        <v>0</v>
      </c>
      <c r="BS16" s="6">
        <v>1000</v>
      </c>
      <c r="BT16" s="6">
        <v>0</v>
      </c>
      <c r="BU16" s="6">
        <v>1000</v>
      </c>
      <c r="BV16" s="6"/>
      <c r="BW16" s="21">
        <f t="shared" si="11"/>
        <v>0</v>
      </c>
      <c r="BX16" s="6">
        <f t="shared" si="12"/>
        <v>0</v>
      </c>
      <c r="BY16" s="6">
        <f t="shared" si="13"/>
        <v>0</v>
      </c>
      <c r="BZ16" s="6">
        <v>1000</v>
      </c>
      <c r="CA16" s="6">
        <v>0</v>
      </c>
      <c r="CB16" s="6">
        <v>1000</v>
      </c>
      <c r="CC16" s="6"/>
      <c r="CD16" s="21">
        <f t="shared" si="14"/>
        <v>0</v>
      </c>
      <c r="CE16" s="6">
        <f t="shared" si="15"/>
        <v>0</v>
      </c>
      <c r="CF16" s="6">
        <f t="shared" si="16"/>
        <v>0</v>
      </c>
      <c r="CG16" s="6">
        <v>1000</v>
      </c>
      <c r="CH16" s="6"/>
      <c r="CI16" s="6">
        <v>1000</v>
      </c>
      <c r="CJ16" s="6">
        <v>0</v>
      </c>
      <c r="CK16" s="5" t="s">
        <v>35</v>
      </c>
      <c r="CL16" s="14">
        <v>0</v>
      </c>
      <c r="CM16" s="14">
        <v>50990</v>
      </c>
      <c r="CN16" s="14">
        <v>0</v>
      </c>
      <c r="CO16" s="14"/>
      <c r="CP16" s="14">
        <f>'2019'!CU18</f>
        <v>52473</v>
      </c>
      <c r="CQ16" s="14">
        <f t="shared" si="20"/>
        <v>58473</v>
      </c>
      <c r="CR16" s="14">
        <v>200</v>
      </c>
      <c r="CS16" s="14">
        <f t="shared" si="18"/>
        <v>1213</v>
      </c>
      <c r="CT16" s="41">
        <f t="shared" si="19"/>
        <v>59686</v>
      </c>
      <c r="CU16" s="14">
        <v>0</v>
      </c>
      <c r="CV16" s="14">
        <v>0</v>
      </c>
      <c r="CW16" s="14">
        <v>0</v>
      </c>
      <c r="CX16" s="14">
        <v>0</v>
      </c>
      <c r="CY16" s="14">
        <v>12000</v>
      </c>
    </row>
    <row r="17" spans="1:103">
      <c r="A17" s="5">
        <v>17</v>
      </c>
      <c r="B17" s="5" t="s">
        <v>36</v>
      </c>
      <c r="C17" s="7"/>
      <c r="D17" s="6"/>
      <c r="E17" s="6"/>
      <c r="F17" s="6"/>
      <c r="G17" s="6"/>
      <c r="H17" s="6"/>
      <c r="I17" s="6"/>
      <c r="J17" s="21"/>
      <c r="K17" s="6"/>
      <c r="L17" s="6"/>
      <c r="M17" s="6"/>
      <c r="N17" s="6"/>
      <c r="O17" s="6"/>
      <c r="P17" s="6"/>
      <c r="Q17" s="21"/>
      <c r="R17" s="6"/>
      <c r="S17" s="6"/>
      <c r="T17" s="6"/>
      <c r="U17" s="6"/>
      <c r="V17" s="6"/>
      <c r="W17" s="6"/>
      <c r="X17" s="21"/>
      <c r="Y17" s="6"/>
      <c r="Z17" s="6"/>
      <c r="AA17" s="6"/>
      <c r="AB17" s="6"/>
      <c r="AC17" s="6"/>
      <c r="AD17" s="6"/>
      <c r="AE17" s="21"/>
      <c r="AF17" s="6"/>
      <c r="AG17" s="6"/>
      <c r="AH17" s="6"/>
      <c r="AI17" s="6"/>
      <c r="AJ17" s="6"/>
      <c r="AK17" s="6"/>
      <c r="AL17" s="21"/>
      <c r="AM17" s="6"/>
      <c r="AN17" s="6"/>
      <c r="AO17" s="6"/>
      <c r="AP17" s="6"/>
      <c r="AQ17" s="6"/>
      <c r="AR17" s="6"/>
      <c r="AS17" s="6"/>
      <c r="AT17" s="5" t="s">
        <v>36</v>
      </c>
      <c r="AU17" s="21">
        <f>'2019'!CL19</f>
        <v>115602</v>
      </c>
      <c r="AV17" s="6">
        <f t="shared" si="0"/>
        <v>1422</v>
      </c>
      <c r="AW17" s="6">
        <f t="shared" si="1"/>
        <v>578</v>
      </c>
      <c r="AX17" s="6">
        <v>1000</v>
      </c>
      <c r="AY17" s="6">
        <v>0</v>
      </c>
      <c r="AZ17" s="6">
        <v>3000</v>
      </c>
      <c r="BA17" s="6">
        <v>0</v>
      </c>
      <c r="BB17" s="21">
        <f t="shared" si="2"/>
        <v>114180</v>
      </c>
      <c r="BC17" s="6">
        <f t="shared" si="3"/>
        <v>1429</v>
      </c>
      <c r="BD17" s="6">
        <f t="shared" si="4"/>
        <v>571</v>
      </c>
      <c r="BE17" s="6">
        <v>1000</v>
      </c>
      <c r="BF17" s="6">
        <v>0</v>
      </c>
      <c r="BG17" s="6">
        <v>3000</v>
      </c>
      <c r="BH17" s="6"/>
      <c r="BI17" s="21">
        <f t="shared" si="5"/>
        <v>112751</v>
      </c>
      <c r="BJ17" s="6">
        <f t="shared" si="6"/>
        <v>436</v>
      </c>
      <c r="BK17" s="6">
        <f t="shared" si="7"/>
        <v>564</v>
      </c>
      <c r="BL17" s="6">
        <v>1000</v>
      </c>
      <c r="BM17" s="6">
        <v>0</v>
      </c>
      <c r="BN17" s="6">
        <v>2000</v>
      </c>
      <c r="BO17" s="6"/>
      <c r="BP17" s="21">
        <f t="shared" si="8"/>
        <v>112315</v>
      </c>
      <c r="BQ17" s="6">
        <f t="shared" si="9"/>
        <v>0</v>
      </c>
      <c r="BR17" s="6">
        <f t="shared" si="10"/>
        <v>562</v>
      </c>
      <c r="BS17" s="6">
        <v>1000</v>
      </c>
      <c r="BT17" s="6">
        <v>0</v>
      </c>
      <c r="BU17" s="6">
        <v>1562</v>
      </c>
      <c r="BV17" s="6">
        <v>1562</v>
      </c>
      <c r="BW17" s="21">
        <f t="shared" si="11"/>
        <v>113877</v>
      </c>
      <c r="BX17" s="6">
        <f t="shared" si="12"/>
        <v>0</v>
      </c>
      <c r="BY17" s="6">
        <f t="shared" si="13"/>
        <v>569</v>
      </c>
      <c r="BZ17" s="6">
        <v>1000</v>
      </c>
      <c r="CA17" s="6">
        <v>0</v>
      </c>
      <c r="CB17" s="6">
        <v>1569</v>
      </c>
      <c r="CC17" s="6">
        <v>1569</v>
      </c>
      <c r="CD17" s="21">
        <f t="shared" si="14"/>
        <v>115446</v>
      </c>
      <c r="CE17" s="6">
        <f t="shared" si="15"/>
        <v>0</v>
      </c>
      <c r="CF17" s="6">
        <f t="shared" si="16"/>
        <v>577</v>
      </c>
      <c r="CG17" s="6">
        <v>1000</v>
      </c>
      <c r="CH17" s="6"/>
      <c r="CI17" s="6">
        <v>1577</v>
      </c>
      <c r="CJ17" s="6">
        <v>1577</v>
      </c>
      <c r="CK17" s="5" t="s">
        <v>36</v>
      </c>
      <c r="CL17" s="14">
        <f t="shared" si="17"/>
        <v>117023</v>
      </c>
      <c r="CM17" s="14">
        <v>109560</v>
      </c>
      <c r="CN17" s="14">
        <v>0</v>
      </c>
      <c r="CO17" s="14">
        <v>10000</v>
      </c>
      <c r="CP17" s="14">
        <f>'2019'!CU19</f>
        <v>59197</v>
      </c>
      <c r="CQ17" s="14">
        <f t="shared" si="20"/>
        <v>65197</v>
      </c>
      <c r="CR17" s="14">
        <v>-72</v>
      </c>
      <c r="CS17" s="14">
        <f t="shared" si="18"/>
        <v>1057</v>
      </c>
      <c r="CT17" s="41">
        <f t="shared" si="19"/>
        <v>66254</v>
      </c>
      <c r="CU17" s="14">
        <v>4381</v>
      </c>
      <c r="CV17" s="14">
        <v>6728</v>
      </c>
      <c r="CW17" s="14">
        <v>10109</v>
      </c>
      <c r="CX17" s="14">
        <v>115340</v>
      </c>
      <c r="CY17" s="14">
        <v>12000</v>
      </c>
    </row>
    <row r="18" spans="1:103">
      <c r="A18" s="5">
        <v>18</v>
      </c>
      <c r="B18" s="5" t="s">
        <v>38</v>
      </c>
      <c r="C18" s="7"/>
      <c r="D18" s="6"/>
      <c r="E18" s="6"/>
      <c r="F18" s="6"/>
      <c r="G18" s="6"/>
      <c r="H18" s="6"/>
      <c r="I18" s="6"/>
      <c r="J18" s="21"/>
      <c r="K18" s="6"/>
      <c r="L18" s="6"/>
      <c r="M18" s="6"/>
      <c r="N18" s="6"/>
      <c r="O18" s="6"/>
      <c r="P18" s="6"/>
      <c r="Q18" s="21"/>
      <c r="R18" s="6"/>
      <c r="S18" s="6"/>
      <c r="T18" s="6"/>
      <c r="U18" s="6"/>
      <c r="V18" s="6"/>
      <c r="W18" s="6"/>
      <c r="X18" s="21"/>
      <c r="Y18" s="6"/>
      <c r="Z18" s="6"/>
      <c r="AA18" s="6"/>
      <c r="AB18" s="6"/>
      <c r="AC18" s="6"/>
      <c r="AD18" s="6"/>
      <c r="AE18" s="21"/>
      <c r="AF18" s="6"/>
      <c r="AG18" s="6"/>
      <c r="AH18" s="6"/>
      <c r="AI18" s="6"/>
      <c r="AJ18" s="6"/>
      <c r="AK18" s="6"/>
      <c r="AL18" s="21"/>
      <c r="AM18" s="6"/>
      <c r="AN18" s="6"/>
      <c r="AO18" s="6"/>
      <c r="AP18" s="6"/>
      <c r="AQ18" s="6"/>
      <c r="AR18" s="6"/>
      <c r="AS18" s="6"/>
      <c r="AT18" s="5" t="s">
        <v>38</v>
      </c>
      <c r="AU18" s="21">
        <f>'2019'!CL20</f>
        <v>21373</v>
      </c>
      <c r="AV18" s="6">
        <f t="shared" si="0"/>
        <v>393</v>
      </c>
      <c r="AW18" s="6">
        <f t="shared" si="1"/>
        <v>107</v>
      </c>
      <c r="AX18" s="6">
        <v>500</v>
      </c>
      <c r="AY18" s="6">
        <v>1000</v>
      </c>
      <c r="AZ18" s="6">
        <v>2000</v>
      </c>
      <c r="BA18" s="6">
        <v>0</v>
      </c>
      <c r="BB18" s="21">
        <f t="shared" si="2"/>
        <v>20980</v>
      </c>
      <c r="BC18" s="6">
        <f t="shared" si="3"/>
        <v>395</v>
      </c>
      <c r="BD18" s="6">
        <f t="shared" si="4"/>
        <v>105</v>
      </c>
      <c r="BE18" s="6">
        <v>500</v>
      </c>
      <c r="BF18" s="6">
        <v>1000</v>
      </c>
      <c r="BG18" s="6">
        <v>2000</v>
      </c>
      <c r="BH18" s="6">
        <v>0</v>
      </c>
      <c r="BI18" s="21">
        <f t="shared" si="5"/>
        <v>20585</v>
      </c>
      <c r="BJ18" s="6">
        <f t="shared" si="6"/>
        <v>0</v>
      </c>
      <c r="BK18" s="6">
        <f t="shared" si="7"/>
        <v>103</v>
      </c>
      <c r="BL18" s="6">
        <v>500</v>
      </c>
      <c r="BM18" s="6">
        <v>1000</v>
      </c>
      <c r="BN18" s="6">
        <v>1603</v>
      </c>
      <c r="BO18" s="6">
        <v>1603</v>
      </c>
      <c r="BP18" s="21">
        <f t="shared" si="8"/>
        <v>22188</v>
      </c>
      <c r="BQ18" s="6">
        <f t="shared" si="9"/>
        <v>0</v>
      </c>
      <c r="BR18" s="6">
        <f t="shared" si="10"/>
        <v>111</v>
      </c>
      <c r="BS18" s="6">
        <v>500</v>
      </c>
      <c r="BT18" s="6">
        <v>1000</v>
      </c>
      <c r="BU18" s="6">
        <v>1611</v>
      </c>
      <c r="BV18" s="6">
        <v>1611</v>
      </c>
      <c r="BW18" s="21">
        <f t="shared" si="11"/>
        <v>23799</v>
      </c>
      <c r="BX18" s="6">
        <f t="shared" si="12"/>
        <v>23781</v>
      </c>
      <c r="BY18" s="6">
        <f t="shared" si="13"/>
        <v>119</v>
      </c>
      <c r="BZ18" s="6">
        <v>500</v>
      </c>
      <c r="CA18" s="6">
        <v>1000</v>
      </c>
      <c r="CB18" s="6">
        <v>25400</v>
      </c>
      <c r="CC18" s="6"/>
      <c r="CD18" s="21">
        <f t="shared" si="14"/>
        <v>18</v>
      </c>
      <c r="CE18" s="6">
        <f t="shared" si="15"/>
        <v>1</v>
      </c>
      <c r="CF18" s="6">
        <f t="shared" si="16"/>
        <v>0</v>
      </c>
      <c r="CG18" s="6">
        <v>500</v>
      </c>
      <c r="CH18" s="6"/>
      <c r="CI18" s="6">
        <v>501</v>
      </c>
      <c r="CJ18" s="6">
        <v>0</v>
      </c>
      <c r="CK18" s="5" t="s">
        <v>38</v>
      </c>
      <c r="CL18" s="14">
        <f t="shared" si="17"/>
        <v>17</v>
      </c>
      <c r="CM18" s="14">
        <v>0</v>
      </c>
      <c r="CN18" s="14">
        <v>5000</v>
      </c>
      <c r="CO18" s="14">
        <v>5000</v>
      </c>
      <c r="CP18" s="14">
        <f>'2019'!CU20</f>
        <v>49227</v>
      </c>
      <c r="CQ18" s="14">
        <f t="shared" si="20"/>
        <v>52227</v>
      </c>
      <c r="CR18" s="14">
        <v>-72</v>
      </c>
      <c r="CS18" s="14">
        <f t="shared" si="18"/>
        <v>833</v>
      </c>
      <c r="CT18" s="41">
        <f t="shared" si="19"/>
        <v>53060</v>
      </c>
      <c r="CU18" s="14">
        <v>3627</v>
      </c>
      <c r="CV18" s="14">
        <v>373</v>
      </c>
      <c r="CW18" s="14">
        <v>25000</v>
      </c>
      <c r="CX18" s="14">
        <v>21373</v>
      </c>
      <c r="CY18" s="14">
        <v>6000</v>
      </c>
    </row>
    <row r="19" spans="1:103">
      <c r="A19" s="5">
        <v>19</v>
      </c>
      <c r="B19" s="5" t="s">
        <v>71</v>
      </c>
      <c r="C19" s="7"/>
      <c r="D19" s="6"/>
      <c r="E19" s="6"/>
      <c r="F19" s="6"/>
      <c r="G19" s="6"/>
      <c r="H19" s="6"/>
      <c r="I19" s="6"/>
      <c r="J19" s="21"/>
      <c r="K19" s="6"/>
      <c r="L19" s="6"/>
      <c r="M19" s="6"/>
      <c r="N19" s="6"/>
      <c r="O19" s="6"/>
      <c r="P19" s="6"/>
      <c r="Q19" s="21"/>
      <c r="R19" s="6"/>
      <c r="S19" s="6"/>
      <c r="T19" s="6"/>
      <c r="U19" s="6"/>
      <c r="V19" s="6"/>
      <c r="W19" s="6"/>
      <c r="X19" s="21"/>
      <c r="Y19" s="6"/>
      <c r="Z19" s="6"/>
      <c r="AA19" s="6"/>
      <c r="AB19" s="6"/>
      <c r="AC19" s="6"/>
      <c r="AD19" s="6"/>
      <c r="AE19" s="21"/>
      <c r="AF19" s="6"/>
      <c r="AG19" s="6"/>
      <c r="AH19" s="6"/>
      <c r="AI19" s="6"/>
      <c r="AJ19" s="6"/>
      <c r="AK19" s="6"/>
      <c r="AL19" s="21"/>
      <c r="AM19" s="6"/>
      <c r="AN19" s="6"/>
      <c r="AO19" s="6"/>
      <c r="AP19" s="6"/>
      <c r="AQ19" s="6"/>
      <c r="AR19" s="6"/>
      <c r="AS19" s="6"/>
      <c r="AT19" s="5" t="s">
        <v>71</v>
      </c>
      <c r="AU19" s="21">
        <f>'2019'!CL21</f>
        <v>102718</v>
      </c>
      <c r="AV19" s="6">
        <f t="shared" si="0"/>
        <v>2486</v>
      </c>
      <c r="AW19" s="6">
        <f t="shared" si="1"/>
        <v>514</v>
      </c>
      <c r="AX19" s="6">
        <v>500</v>
      </c>
      <c r="AY19" s="6">
        <v>1000</v>
      </c>
      <c r="AZ19" s="6">
        <v>4500</v>
      </c>
      <c r="BA19" s="6">
        <v>0</v>
      </c>
      <c r="BB19" s="21">
        <f t="shared" si="2"/>
        <v>100232</v>
      </c>
      <c r="BC19" s="6">
        <f t="shared" si="3"/>
        <v>1999</v>
      </c>
      <c r="BD19" s="6">
        <f t="shared" si="4"/>
        <v>501</v>
      </c>
      <c r="BE19" s="6">
        <v>500</v>
      </c>
      <c r="BF19" s="6">
        <v>1000</v>
      </c>
      <c r="BG19" s="6">
        <v>4000</v>
      </c>
      <c r="BH19" s="6"/>
      <c r="BI19" s="21">
        <f t="shared" si="5"/>
        <v>98233</v>
      </c>
      <c r="BJ19" s="6">
        <f t="shared" si="6"/>
        <v>8209</v>
      </c>
      <c r="BK19" s="6">
        <f t="shared" si="7"/>
        <v>491</v>
      </c>
      <c r="BL19" s="6">
        <v>500</v>
      </c>
      <c r="BM19" s="6">
        <v>1000</v>
      </c>
      <c r="BN19" s="6">
        <v>10200</v>
      </c>
      <c r="BO19" s="6"/>
      <c r="BP19" s="21">
        <f t="shared" si="8"/>
        <v>90024</v>
      </c>
      <c r="BQ19" s="6">
        <f t="shared" si="9"/>
        <v>1050</v>
      </c>
      <c r="BR19" s="6">
        <f t="shared" si="10"/>
        <v>450</v>
      </c>
      <c r="BS19" s="6">
        <v>500</v>
      </c>
      <c r="BT19" s="6">
        <v>1000</v>
      </c>
      <c r="BU19" s="6">
        <v>3000</v>
      </c>
      <c r="BV19" s="6"/>
      <c r="BW19" s="21">
        <f t="shared" si="11"/>
        <v>88974</v>
      </c>
      <c r="BX19" s="6">
        <f t="shared" si="12"/>
        <v>55</v>
      </c>
      <c r="BY19" s="6">
        <f t="shared" si="13"/>
        <v>445</v>
      </c>
      <c r="BZ19" s="6">
        <v>500</v>
      </c>
      <c r="CA19" s="6">
        <v>1000</v>
      </c>
      <c r="CB19" s="6">
        <v>2000</v>
      </c>
      <c r="CC19" s="6"/>
      <c r="CD19" s="21">
        <f t="shared" si="14"/>
        <v>88919</v>
      </c>
      <c r="CE19" s="6">
        <f t="shared" si="15"/>
        <v>1055</v>
      </c>
      <c r="CF19" s="6">
        <f t="shared" si="16"/>
        <v>445</v>
      </c>
      <c r="CG19" s="6">
        <v>500</v>
      </c>
      <c r="CH19" s="6"/>
      <c r="CI19" s="6">
        <v>2000</v>
      </c>
      <c r="CJ19" s="6"/>
      <c r="CK19" s="5" t="s">
        <v>71</v>
      </c>
      <c r="CL19" s="14">
        <f t="shared" si="17"/>
        <v>87864</v>
      </c>
      <c r="CM19" s="14">
        <v>63465</v>
      </c>
      <c r="CN19" s="14">
        <v>5000</v>
      </c>
      <c r="CO19" s="14">
        <v>5000</v>
      </c>
      <c r="CP19" s="14">
        <f>'2019'!CU21</f>
        <v>19325</v>
      </c>
      <c r="CQ19" s="14">
        <f t="shared" si="20"/>
        <v>22325</v>
      </c>
      <c r="CR19" s="14">
        <v>-72</v>
      </c>
      <c r="CS19" s="14">
        <f t="shared" si="18"/>
        <v>315</v>
      </c>
      <c r="CT19" s="41">
        <f t="shared" si="19"/>
        <v>22640</v>
      </c>
      <c r="CU19" s="14">
        <v>27740</v>
      </c>
      <c r="CV19" s="14">
        <v>4643</v>
      </c>
      <c r="CW19" s="14">
        <v>66783</v>
      </c>
      <c r="CX19" s="14">
        <v>102598</v>
      </c>
      <c r="CY19" s="14">
        <v>6000</v>
      </c>
    </row>
    <row r="20" spans="1:103">
      <c r="A20" s="5">
        <v>20</v>
      </c>
      <c r="B20" s="5" t="s">
        <v>40</v>
      </c>
      <c r="C20" s="7"/>
      <c r="D20" s="6"/>
      <c r="E20" s="6"/>
      <c r="F20" s="6"/>
      <c r="G20" s="34"/>
      <c r="H20" s="6"/>
      <c r="I20" s="6"/>
      <c r="J20" s="21"/>
      <c r="K20" s="6"/>
      <c r="L20" s="6"/>
      <c r="M20" s="6"/>
      <c r="N20" s="34"/>
      <c r="O20" s="6"/>
      <c r="P20" s="6"/>
      <c r="Q20" s="21"/>
      <c r="R20" s="6"/>
      <c r="S20" s="6"/>
      <c r="T20" s="6"/>
      <c r="U20" s="6"/>
      <c r="V20" s="6"/>
      <c r="W20" s="6"/>
      <c r="X20" s="21"/>
      <c r="Y20" s="6"/>
      <c r="Z20" s="6"/>
      <c r="AA20" s="6"/>
      <c r="AB20" s="6"/>
      <c r="AC20" s="6"/>
      <c r="AD20" s="6"/>
      <c r="AE20" s="21"/>
      <c r="AF20" s="6"/>
      <c r="AG20" s="6"/>
      <c r="AH20" s="6"/>
      <c r="AI20" s="6"/>
      <c r="AJ20" s="6"/>
      <c r="AK20" s="6"/>
      <c r="AL20" s="21"/>
      <c r="AM20" s="6"/>
      <c r="AN20" s="6"/>
      <c r="AO20" s="6"/>
      <c r="AP20" s="6"/>
      <c r="AQ20" s="6"/>
      <c r="AR20" s="6"/>
      <c r="AS20" s="6"/>
      <c r="AT20" s="5" t="s">
        <v>40</v>
      </c>
      <c r="AU20" s="21">
        <f>'2019'!CL22</f>
        <v>58373</v>
      </c>
      <c r="AV20" s="6">
        <f t="shared" si="0"/>
        <v>0</v>
      </c>
      <c r="AW20" s="6">
        <f t="shared" si="1"/>
        <v>292</v>
      </c>
      <c r="AX20" s="6">
        <v>500</v>
      </c>
      <c r="AY20" s="6">
        <v>0</v>
      </c>
      <c r="AZ20" s="6">
        <v>792</v>
      </c>
      <c r="BA20" s="6">
        <v>792</v>
      </c>
      <c r="BB20" s="21">
        <f t="shared" si="2"/>
        <v>59165</v>
      </c>
      <c r="BC20" s="6">
        <f t="shared" si="3"/>
        <v>0</v>
      </c>
      <c r="BD20" s="6">
        <f t="shared" si="4"/>
        <v>296</v>
      </c>
      <c r="BE20" s="6">
        <v>500</v>
      </c>
      <c r="BF20" s="6">
        <v>0</v>
      </c>
      <c r="BG20" s="6">
        <v>796</v>
      </c>
      <c r="BH20" s="6">
        <v>796</v>
      </c>
      <c r="BI20" s="21">
        <f t="shared" si="5"/>
        <v>59961</v>
      </c>
      <c r="BJ20" s="6">
        <f t="shared" si="6"/>
        <v>0</v>
      </c>
      <c r="BK20" s="6">
        <f t="shared" si="7"/>
        <v>300</v>
      </c>
      <c r="BL20" s="6">
        <v>500</v>
      </c>
      <c r="BM20" s="6">
        <v>0</v>
      </c>
      <c r="BN20" s="6">
        <v>800</v>
      </c>
      <c r="BO20" s="6">
        <v>800</v>
      </c>
      <c r="BP20" s="21">
        <f t="shared" si="8"/>
        <v>60761</v>
      </c>
      <c r="BQ20" s="6">
        <f t="shared" si="9"/>
        <v>0</v>
      </c>
      <c r="BR20" s="6">
        <f t="shared" si="10"/>
        <v>304</v>
      </c>
      <c r="BS20" s="6">
        <v>500</v>
      </c>
      <c r="BT20" s="6">
        <v>0</v>
      </c>
      <c r="BU20" s="5">
        <v>804</v>
      </c>
      <c r="BV20" s="6">
        <v>804</v>
      </c>
      <c r="BW20" s="21">
        <f t="shared" si="11"/>
        <v>61565</v>
      </c>
      <c r="BX20" s="6">
        <f t="shared" si="12"/>
        <v>0</v>
      </c>
      <c r="BY20" s="6">
        <f t="shared" si="13"/>
        <v>308</v>
      </c>
      <c r="BZ20" s="6">
        <v>500</v>
      </c>
      <c r="CA20" s="6">
        <v>0</v>
      </c>
      <c r="CB20" s="6">
        <v>808</v>
      </c>
      <c r="CC20" s="6">
        <v>808</v>
      </c>
      <c r="CD20" s="21">
        <f t="shared" si="14"/>
        <v>62373</v>
      </c>
      <c r="CE20" s="6">
        <f t="shared" si="15"/>
        <v>0</v>
      </c>
      <c r="CF20" s="6">
        <f t="shared" si="16"/>
        <v>312</v>
      </c>
      <c r="CG20" s="6">
        <v>500</v>
      </c>
      <c r="CH20" s="5"/>
      <c r="CI20" s="6">
        <v>812</v>
      </c>
      <c r="CJ20" s="6">
        <v>812</v>
      </c>
      <c r="CK20" s="5" t="s">
        <v>40</v>
      </c>
      <c r="CL20" s="14">
        <f t="shared" si="17"/>
        <v>63185</v>
      </c>
      <c r="CM20" s="14"/>
      <c r="CN20" s="14"/>
      <c r="CO20" s="14"/>
      <c r="CP20" s="14">
        <f>'2019'!CU22</f>
        <v>19325</v>
      </c>
      <c r="CQ20" s="14">
        <f t="shared" si="20"/>
        <v>22325</v>
      </c>
      <c r="CR20" s="14">
        <v>-72</v>
      </c>
      <c r="CS20" s="14">
        <f t="shared" si="18"/>
        <v>315</v>
      </c>
      <c r="CT20" s="41">
        <f t="shared" si="19"/>
        <v>22640</v>
      </c>
      <c r="CU20" s="14"/>
      <c r="CV20" s="14"/>
      <c r="CW20" s="14"/>
      <c r="CX20" s="14"/>
      <c r="CY20" s="14"/>
    </row>
    <row r="21" spans="1:103">
      <c r="A21" s="5">
        <v>21</v>
      </c>
      <c r="B21" s="35" t="s">
        <v>78</v>
      </c>
      <c r="C21" s="7"/>
      <c r="D21" s="6"/>
      <c r="E21" s="6"/>
      <c r="F21" s="6"/>
      <c r="G21" s="6"/>
      <c r="H21" s="6"/>
      <c r="I21" s="6"/>
      <c r="J21" s="21"/>
      <c r="K21" s="6"/>
      <c r="L21" s="6"/>
      <c r="M21" s="6"/>
      <c r="N21" s="6"/>
      <c r="O21" s="6"/>
      <c r="P21" s="6"/>
      <c r="Q21" s="21"/>
      <c r="R21" s="6"/>
      <c r="S21" s="6"/>
      <c r="T21" s="6"/>
      <c r="U21" s="6"/>
      <c r="V21" s="6"/>
      <c r="W21" s="6"/>
      <c r="X21" s="21"/>
      <c r="Y21" s="6"/>
      <c r="Z21" s="6"/>
      <c r="AA21" s="6"/>
      <c r="AB21" s="6"/>
      <c r="AC21" s="6"/>
      <c r="AD21" s="6"/>
      <c r="AE21" s="21"/>
      <c r="AF21" s="6"/>
      <c r="AG21" s="6"/>
      <c r="AH21" s="6"/>
      <c r="AI21" s="6"/>
      <c r="AJ21" s="6"/>
      <c r="AK21" s="6"/>
      <c r="AL21" s="21"/>
      <c r="AM21" s="6"/>
      <c r="AN21" s="6"/>
      <c r="AO21" s="6"/>
      <c r="AP21" s="6"/>
      <c r="AQ21" s="6"/>
      <c r="AR21" s="6"/>
      <c r="AS21" s="6"/>
      <c r="AT21" s="35" t="s">
        <v>78</v>
      </c>
      <c r="AU21" s="21">
        <f>'2019'!CL23</f>
        <v>0</v>
      </c>
      <c r="AV21" s="6">
        <f t="shared" si="0"/>
        <v>0</v>
      </c>
      <c r="AW21" s="6">
        <f t="shared" si="1"/>
        <v>0</v>
      </c>
      <c r="AX21" s="6">
        <v>500</v>
      </c>
      <c r="AY21" s="6">
        <v>0</v>
      </c>
      <c r="AZ21" s="6">
        <v>500</v>
      </c>
      <c r="BA21" s="6">
        <v>0</v>
      </c>
      <c r="BB21" s="21">
        <f t="shared" si="2"/>
        <v>0</v>
      </c>
      <c r="BC21" s="6">
        <f t="shared" si="3"/>
        <v>0</v>
      </c>
      <c r="BD21" s="6">
        <f t="shared" si="4"/>
        <v>0</v>
      </c>
      <c r="BE21" s="6">
        <v>500</v>
      </c>
      <c r="BF21" s="6">
        <v>0</v>
      </c>
      <c r="BG21" s="6">
        <v>500</v>
      </c>
      <c r="BH21" s="6">
        <v>0</v>
      </c>
      <c r="BI21" s="21">
        <f t="shared" si="5"/>
        <v>0</v>
      </c>
      <c r="BJ21" s="6">
        <f t="shared" si="6"/>
        <v>0</v>
      </c>
      <c r="BK21" s="6">
        <f t="shared" si="7"/>
        <v>0</v>
      </c>
      <c r="BL21" s="6">
        <v>500</v>
      </c>
      <c r="BM21" s="6">
        <v>0</v>
      </c>
      <c r="BN21" s="6">
        <v>500</v>
      </c>
      <c r="BO21" s="5"/>
      <c r="BP21" s="21">
        <f t="shared" si="8"/>
        <v>0</v>
      </c>
      <c r="BQ21" s="6">
        <f t="shared" si="9"/>
        <v>0</v>
      </c>
      <c r="BR21" s="6">
        <f t="shared" si="10"/>
        <v>0</v>
      </c>
      <c r="BS21" s="6">
        <v>500</v>
      </c>
      <c r="BT21" s="6">
        <v>0</v>
      </c>
      <c r="BU21" s="6">
        <v>500</v>
      </c>
      <c r="BV21" s="5"/>
      <c r="BW21" s="21">
        <f t="shared" si="11"/>
        <v>0</v>
      </c>
      <c r="BX21" s="6">
        <f t="shared" si="12"/>
        <v>0</v>
      </c>
      <c r="BY21" s="6">
        <f t="shared" si="13"/>
        <v>0</v>
      </c>
      <c r="BZ21" s="6">
        <v>500</v>
      </c>
      <c r="CA21" s="6">
        <v>0</v>
      </c>
      <c r="CB21" s="5">
        <v>500</v>
      </c>
      <c r="CC21" s="5"/>
      <c r="CD21" s="21">
        <f t="shared" si="14"/>
        <v>0</v>
      </c>
      <c r="CE21" s="6">
        <f t="shared" si="15"/>
        <v>0</v>
      </c>
      <c r="CF21" s="6">
        <f t="shared" si="16"/>
        <v>0</v>
      </c>
      <c r="CG21" s="6">
        <v>500</v>
      </c>
      <c r="CH21" s="5"/>
      <c r="CI21" s="5">
        <v>500</v>
      </c>
      <c r="CJ21" s="5">
        <v>0</v>
      </c>
      <c r="CK21" s="35" t="s">
        <v>78</v>
      </c>
      <c r="CL21" s="14">
        <f t="shared" si="17"/>
        <v>0</v>
      </c>
      <c r="CM21" s="14">
        <v>55373</v>
      </c>
      <c r="CN21" s="14">
        <v>0</v>
      </c>
      <c r="CO21" s="14"/>
      <c r="CP21" s="14">
        <f>'2019'!CU23</f>
        <v>6253</v>
      </c>
      <c r="CQ21" s="14">
        <f t="shared" si="20"/>
        <v>9253</v>
      </c>
      <c r="CR21" s="14">
        <v>75</v>
      </c>
      <c r="CS21" s="14">
        <f t="shared" si="18"/>
        <v>235</v>
      </c>
      <c r="CT21" s="41">
        <f t="shared" si="19"/>
        <v>9488</v>
      </c>
      <c r="CU21" s="14">
        <v>4307</v>
      </c>
      <c r="CV21" s="14">
        <v>3768</v>
      </c>
      <c r="CW21" s="14">
        <v>4875</v>
      </c>
      <c r="CX21" s="14">
        <v>64704</v>
      </c>
      <c r="CY21" s="14">
        <v>6000</v>
      </c>
    </row>
    <row r="22" spans="1:103">
      <c r="A22" s="5">
        <v>22</v>
      </c>
      <c r="B22" s="5" t="s">
        <v>79</v>
      </c>
      <c r="C22" s="7"/>
      <c r="D22" s="6"/>
      <c r="E22" s="6"/>
      <c r="F22" s="6"/>
      <c r="G22" s="6"/>
      <c r="H22" s="6"/>
      <c r="I22" s="21"/>
      <c r="J22" s="21"/>
      <c r="K22" s="6"/>
      <c r="L22" s="6"/>
      <c r="M22" s="6"/>
      <c r="N22" s="6"/>
      <c r="O22" s="6"/>
      <c r="P22" s="6"/>
      <c r="Q22" s="21"/>
      <c r="R22" s="6"/>
      <c r="S22" s="6"/>
      <c r="T22" s="6"/>
      <c r="U22" s="6"/>
      <c r="V22" s="6"/>
      <c r="W22" s="6"/>
      <c r="X22" s="21"/>
      <c r="Y22" s="6"/>
      <c r="Z22" s="6"/>
      <c r="AA22" s="6"/>
      <c r="AB22" s="6"/>
      <c r="AC22" s="6"/>
      <c r="AD22" s="6"/>
      <c r="AE22" s="21"/>
      <c r="AF22" s="6"/>
      <c r="AG22" s="6"/>
      <c r="AH22" s="5"/>
      <c r="AI22" s="6"/>
      <c r="AJ22" s="5"/>
      <c r="AK22" s="5"/>
      <c r="AL22" s="21"/>
      <c r="AM22" s="6"/>
      <c r="AN22" s="6"/>
      <c r="AO22" s="5"/>
      <c r="AP22" s="5"/>
      <c r="AQ22" s="5"/>
      <c r="AR22" s="6"/>
      <c r="AS22" s="5"/>
      <c r="AT22" s="5" t="s">
        <v>79</v>
      </c>
      <c r="AU22" s="21">
        <f>'2019'!CL24</f>
        <v>0</v>
      </c>
      <c r="AV22" s="6">
        <f t="shared" si="0"/>
        <v>0</v>
      </c>
      <c r="AW22" s="6">
        <f>MROUND(((AU22*1)/100),1)</f>
        <v>0</v>
      </c>
      <c r="AX22" s="5"/>
      <c r="AY22" s="5"/>
      <c r="AZ22" s="5"/>
      <c r="BA22" s="5">
        <v>0</v>
      </c>
      <c r="BB22" s="21">
        <f t="shared" si="2"/>
        <v>0</v>
      </c>
      <c r="BC22" s="6">
        <f t="shared" si="3"/>
        <v>0</v>
      </c>
      <c r="BD22" s="6">
        <v>0</v>
      </c>
      <c r="BE22" s="5"/>
      <c r="BF22" s="5"/>
      <c r="BG22" s="5"/>
      <c r="BH22" s="5">
        <v>0</v>
      </c>
      <c r="BI22" s="21">
        <f t="shared" si="5"/>
        <v>0</v>
      </c>
      <c r="BJ22" s="6">
        <f t="shared" si="6"/>
        <v>0</v>
      </c>
      <c r="BK22" s="6">
        <f>MROUND(((BI22*1)/100),1)</f>
        <v>0</v>
      </c>
      <c r="BL22" s="5"/>
      <c r="BM22" s="5"/>
      <c r="BN22" s="5"/>
      <c r="BO22" s="5">
        <v>0</v>
      </c>
      <c r="BP22" s="21">
        <f t="shared" si="8"/>
        <v>0</v>
      </c>
      <c r="BQ22" s="6">
        <f t="shared" si="9"/>
        <v>0</v>
      </c>
      <c r="BR22" s="6">
        <f>MROUND(((BP22*1)/100),1)</f>
        <v>0</v>
      </c>
      <c r="BS22" s="5"/>
      <c r="BT22" s="5"/>
      <c r="BU22" s="5"/>
      <c r="BV22" s="5">
        <v>0</v>
      </c>
      <c r="BW22" s="21">
        <f t="shared" si="11"/>
        <v>0</v>
      </c>
      <c r="BX22" s="6">
        <f t="shared" si="12"/>
        <v>0</v>
      </c>
      <c r="BY22" s="6">
        <f>MROUND(((BW22*1)/100),1)</f>
        <v>0</v>
      </c>
      <c r="BZ22" s="5"/>
      <c r="CA22" s="5"/>
      <c r="CB22" s="5"/>
      <c r="CC22" s="5">
        <v>0</v>
      </c>
      <c r="CD22" s="21">
        <f t="shared" si="14"/>
        <v>0</v>
      </c>
      <c r="CE22" s="6">
        <f t="shared" si="15"/>
        <v>0</v>
      </c>
      <c r="CF22" s="6">
        <f t="shared" si="16"/>
        <v>0</v>
      </c>
      <c r="CG22" s="5"/>
      <c r="CH22" s="5"/>
      <c r="CI22" s="5"/>
      <c r="CJ22" s="5"/>
      <c r="CK22" s="5" t="s">
        <v>79</v>
      </c>
      <c r="CL22" s="14">
        <f t="shared" si="17"/>
        <v>0</v>
      </c>
      <c r="CM22" s="14">
        <v>0</v>
      </c>
      <c r="CN22" s="14">
        <v>0</v>
      </c>
      <c r="CO22" s="14"/>
      <c r="CP22" s="14">
        <f>'2019'!CU24</f>
        <v>0</v>
      </c>
      <c r="CQ22" s="14">
        <v>0</v>
      </c>
      <c r="CR22" s="14">
        <f>CP22</f>
        <v>0</v>
      </c>
      <c r="CS22" s="14">
        <f t="shared" si="18"/>
        <v>0</v>
      </c>
      <c r="CT22" s="41">
        <f t="shared" si="19"/>
        <v>0</v>
      </c>
      <c r="CU22" s="14">
        <v>0</v>
      </c>
      <c r="CV22" s="14">
        <v>0</v>
      </c>
      <c r="CW22" s="14">
        <v>0</v>
      </c>
      <c r="CX22" s="14">
        <v>0</v>
      </c>
      <c r="CY22" s="14">
        <v>6000</v>
      </c>
    </row>
    <row r="23" spans="1:103">
      <c r="A23" s="5">
        <v>23</v>
      </c>
      <c r="B23" s="5" t="s">
        <v>39</v>
      </c>
      <c r="C23" s="7"/>
      <c r="D23" s="6"/>
      <c r="E23" s="6"/>
      <c r="F23" s="6"/>
      <c r="G23" s="6"/>
      <c r="H23" s="6"/>
      <c r="I23" s="21"/>
      <c r="J23" s="21"/>
      <c r="K23" s="6"/>
      <c r="L23" s="6"/>
      <c r="M23" s="6"/>
      <c r="N23" s="6"/>
      <c r="O23" s="6"/>
      <c r="P23" s="6"/>
      <c r="Q23" s="21"/>
      <c r="R23" s="6"/>
      <c r="S23" s="6"/>
      <c r="T23" s="5"/>
      <c r="U23" s="5"/>
      <c r="V23" s="5"/>
      <c r="W23" s="5"/>
      <c r="X23" s="21"/>
      <c r="Y23" s="6"/>
      <c r="Z23" s="6"/>
      <c r="AA23" s="6"/>
      <c r="AB23" s="6"/>
      <c r="AC23" s="6"/>
      <c r="AD23" s="6"/>
      <c r="AE23" s="21"/>
      <c r="AF23" s="6"/>
      <c r="AG23" s="6"/>
      <c r="AH23" s="5"/>
      <c r="AI23" s="6"/>
      <c r="AJ23" s="5"/>
      <c r="AK23" s="5"/>
      <c r="AL23" s="21"/>
      <c r="AM23" s="6"/>
      <c r="AN23" s="6"/>
      <c r="AO23" s="5"/>
      <c r="AP23" s="5"/>
      <c r="AQ23" s="5"/>
      <c r="AR23" s="6"/>
      <c r="AS23" s="5"/>
      <c r="AT23" s="5" t="s">
        <v>39</v>
      </c>
      <c r="AU23" s="21">
        <f>'2019'!CL25</f>
        <v>0</v>
      </c>
      <c r="AV23" s="6">
        <f t="shared" si="0"/>
        <v>0</v>
      </c>
      <c r="AW23" s="6">
        <f>MROUND(((AU23*1)/100),1)</f>
        <v>0</v>
      </c>
      <c r="AX23" s="6"/>
      <c r="AY23" s="6"/>
      <c r="AZ23" s="5">
        <v>0</v>
      </c>
      <c r="BA23" s="5">
        <v>0</v>
      </c>
      <c r="BB23" s="21">
        <f t="shared" si="2"/>
        <v>0</v>
      </c>
      <c r="BC23" s="6">
        <f t="shared" si="3"/>
        <v>0</v>
      </c>
      <c r="BD23" s="6">
        <f>MROUND(((BB23*1)/100),1)</f>
        <v>0</v>
      </c>
      <c r="BE23" s="5"/>
      <c r="BF23" s="5"/>
      <c r="BG23" s="5"/>
      <c r="BH23" s="5">
        <v>0</v>
      </c>
      <c r="BI23" s="21">
        <f>BB23-BC23+BH23</f>
        <v>0</v>
      </c>
      <c r="BJ23" s="6">
        <f t="shared" si="6"/>
        <v>0</v>
      </c>
      <c r="BK23" s="6">
        <f>MROUND(((BI23*1)/100),1)</f>
        <v>0</v>
      </c>
      <c r="BL23" s="5"/>
      <c r="BM23" s="5"/>
      <c r="BN23" s="5"/>
      <c r="BO23" s="5">
        <v>0</v>
      </c>
      <c r="BP23" s="21">
        <f t="shared" si="8"/>
        <v>0</v>
      </c>
      <c r="BQ23" s="6">
        <f t="shared" si="9"/>
        <v>0</v>
      </c>
      <c r="BR23" s="6">
        <f>MROUND(((BP23*1)/100),1)</f>
        <v>0</v>
      </c>
      <c r="BS23" s="5"/>
      <c r="BT23" s="5"/>
      <c r="BU23" s="5"/>
      <c r="BV23" s="5">
        <v>0</v>
      </c>
      <c r="BW23" s="21">
        <f t="shared" si="11"/>
        <v>0</v>
      </c>
      <c r="BX23" s="6">
        <f t="shared" si="12"/>
        <v>0</v>
      </c>
      <c r="BY23" s="6">
        <f>MROUND(((BW23*1)/100),1)</f>
        <v>0</v>
      </c>
      <c r="BZ23" s="5"/>
      <c r="CA23" s="5"/>
      <c r="CB23" s="5"/>
      <c r="CC23" s="5">
        <v>0</v>
      </c>
      <c r="CD23" s="21">
        <f t="shared" si="14"/>
        <v>0</v>
      </c>
      <c r="CE23" s="6">
        <f t="shared" si="15"/>
        <v>0</v>
      </c>
      <c r="CF23" s="6">
        <f>MROUND(((CD23*1)/100),1)</f>
        <v>0</v>
      </c>
      <c r="CG23" s="5"/>
      <c r="CH23" s="5"/>
      <c r="CI23" s="5"/>
      <c r="CJ23" s="5">
        <v>49046</v>
      </c>
      <c r="CK23" s="5" t="s">
        <v>42</v>
      </c>
      <c r="CL23" s="14">
        <f t="shared" si="17"/>
        <v>49046</v>
      </c>
      <c r="CM23" s="14">
        <v>0</v>
      </c>
      <c r="CN23" s="14">
        <v>0</v>
      </c>
      <c r="CO23" s="14"/>
      <c r="CP23" s="14">
        <f>'2019'!CU25</f>
        <v>0</v>
      </c>
      <c r="CQ23" s="14">
        <f t="shared" si="20"/>
        <v>0</v>
      </c>
      <c r="CR23" s="14"/>
      <c r="CS23" s="14">
        <f t="shared" si="18"/>
        <v>0</v>
      </c>
      <c r="CT23" s="41">
        <f t="shared" si="19"/>
        <v>0</v>
      </c>
      <c r="CU23" s="14">
        <v>10000</v>
      </c>
      <c r="CV23" s="14">
        <v>0</v>
      </c>
      <c r="CW23" s="14">
        <v>0</v>
      </c>
      <c r="CX23" s="14">
        <v>0</v>
      </c>
      <c r="CY23" s="14">
        <v>0</v>
      </c>
    </row>
    <row r="24" spans="1:103" ht="18.75">
      <c r="B24" s="5"/>
      <c r="C24" s="7"/>
      <c r="D24" s="7"/>
      <c r="E24" s="8"/>
      <c r="F24" s="7"/>
      <c r="G24" s="7"/>
      <c r="H24" s="9"/>
      <c r="I24" s="17"/>
      <c r="J24" s="17"/>
      <c r="K24" s="18"/>
      <c r="L24" s="19"/>
      <c r="M24" s="18"/>
      <c r="N24" s="18"/>
      <c r="O24" s="20"/>
      <c r="P24" s="7"/>
      <c r="Q24" s="21"/>
      <c r="R24" s="5"/>
      <c r="S24" s="6"/>
      <c r="T24" s="5"/>
      <c r="U24" s="5"/>
      <c r="V24" s="5"/>
      <c r="W24" s="5"/>
      <c r="X24" s="21"/>
      <c r="Y24" s="6"/>
      <c r="Z24" s="6"/>
      <c r="AA24" s="6"/>
      <c r="AB24" s="6"/>
      <c r="AC24" s="6"/>
      <c r="AD24" s="6"/>
      <c r="AE24" s="21"/>
      <c r="AF24" s="6"/>
      <c r="AG24" s="24"/>
      <c r="AH24" s="6"/>
      <c r="AI24" s="24"/>
      <c r="AJ24" s="25"/>
      <c r="AK24" s="6"/>
      <c r="AL24" s="21"/>
      <c r="AM24" s="6"/>
      <c r="AN24" s="24"/>
      <c r="AO24" s="6"/>
      <c r="AP24" s="24"/>
      <c r="AQ24" s="25"/>
      <c r="AR24" s="6"/>
      <c r="AS24" s="6"/>
      <c r="AT24" s="6"/>
      <c r="AU24" s="27">
        <v>1055883</v>
      </c>
      <c r="AV24" s="14">
        <f>SUM(AV3:AV23)</f>
        <v>28996</v>
      </c>
      <c r="AW24" s="14">
        <f>SUM(AW3:AW23)</f>
        <v>5656</v>
      </c>
      <c r="AX24" s="14">
        <f>SUM(AX3:AX23)</f>
        <v>21000</v>
      </c>
      <c r="AY24" s="14">
        <f>SUM(AY3:AY23)</f>
        <v>14000</v>
      </c>
      <c r="AZ24" s="14">
        <f>SUM(AZ3:BA23)</f>
        <v>72804</v>
      </c>
      <c r="BA24" s="14">
        <f>SUM(BA3:BA23)</f>
        <v>3152</v>
      </c>
      <c r="BB24" s="21">
        <v>1098483</v>
      </c>
      <c r="BC24" s="6">
        <f t="shared" ref="BC24:BM24" si="21">SUM(BC3:BC23)</f>
        <v>27744</v>
      </c>
      <c r="BD24" s="24">
        <f t="shared" si="21"/>
        <v>5527</v>
      </c>
      <c r="BE24" s="6">
        <f t="shared" si="21"/>
        <v>24000</v>
      </c>
      <c r="BF24" s="24">
        <f t="shared" si="21"/>
        <v>9000</v>
      </c>
      <c r="BG24" s="25">
        <f t="shared" si="21"/>
        <v>66271</v>
      </c>
      <c r="BH24" s="6">
        <f t="shared" si="21"/>
        <v>5271</v>
      </c>
      <c r="BI24" s="21">
        <f t="shared" si="21"/>
        <v>1082675</v>
      </c>
      <c r="BJ24" s="6">
        <f t="shared" si="21"/>
        <v>25107</v>
      </c>
      <c r="BK24" s="24">
        <f t="shared" si="21"/>
        <v>5414</v>
      </c>
      <c r="BL24" s="6">
        <f t="shared" si="21"/>
        <v>24000</v>
      </c>
      <c r="BM24" s="24">
        <f t="shared" si="21"/>
        <v>9000</v>
      </c>
      <c r="BN24" s="25">
        <v>73772</v>
      </c>
      <c r="BO24" s="6">
        <f t="shared" ref="BO24:CA24" si="22">SUM(BO3:BO23)</f>
        <v>9322</v>
      </c>
      <c r="BP24" s="21">
        <f t="shared" si="22"/>
        <v>1066890</v>
      </c>
      <c r="BQ24" s="6">
        <f t="shared" si="22"/>
        <v>17472</v>
      </c>
      <c r="BR24" s="24">
        <f t="shared" si="22"/>
        <v>5334</v>
      </c>
      <c r="BS24" s="6">
        <f t="shared" si="22"/>
        <v>24000</v>
      </c>
      <c r="BT24" s="24">
        <f t="shared" si="22"/>
        <v>9000</v>
      </c>
      <c r="BU24" s="25">
        <f t="shared" si="22"/>
        <v>55807</v>
      </c>
      <c r="BV24" s="6">
        <f t="shared" si="22"/>
        <v>23807</v>
      </c>
      <c r="BW24" s="21">
        <f t="shared" si="22"/>
        <v>1073225</v>
      </c>
      <c r="BX24" s="6">
        <f t="shared" si="22"/>
        <v>36781</v>
      </c>
      <c r="BY24" s="24">
        <f t="shared" si="22"/>
        <v>5365</v>
      </c>
      <c r="BZ24" s="6">
        <f t="shared" si="22"/>
        <v>24000</v>
      </c>
      <c r="CA24" s="24">
        <f t="shared" si="22"/>
        <v>9000</v>
      </c>
      <c r="CB24" s="25">
        <v>58044</v>
      </c>
      <c r="CC24" s="6">
        <f t="shared" ref="CC24:CH24" si="23">SUM(CC3:CC23)</f>
        <v>135746</v>
      </c>
      <c r="CD24" s="21">
        <f t="shared" si="23"/>
        <v>1172190</v>
      </c>
      <c r="CE24" s="6">
        <f t="shared" si="23"/>
        <v>38583</v>
      </c>
      <c r="CF24" s="24">
        <f t="shared" si="23"/>
        <v>5861</v>
      </c>
      <c r="CG24" s="6">
        <f t="shared" si="23"/>
        <v>27000</v>
      </c>
      <c r="CH24" s="24">
        <f t="shared" si="23"/>
        <v>0</v>
      </c>
      <c r="CI24" s="25">
        <v>51396</v>
      </c>
      <c r="CJ24" s="6">
        <f>SUM(CJ3:CJ23)</f>
        <v>81989</v>
      </c>
      <c r="CL24" s="14">
        <f>SUM(CL3:CL23)</f>
        <v>1215596</v>
      </c>
      <c r="CM24" s="14">
        <v>0</v>
      </c>
      <c r="CN24" s="14">
        <v>50000</v>
      </c>
      <c r="CO24" s="14">
        <v>85000</v>
      </c>
      <c r="CP24" s="14">
        <f>SUM(CP3:CP23)</f>
        <v>1350950</v>
      </c>
      <c r="CQ24" s="14">
        <f>SUM(CQ3:CQ23)</f>
        <v>1494950</v>
      </c>
      <c r="CR24" s="14">
        <f>SUM(CR3:CR23)</f>
        <v>0</v>
      </c>
      <c r="CS24" s="14">
        <f t="shared" si="18"/>
        <v>25893</v>
      </c>
      <c r="CT24" s="41">
        <f>SUM(CT3:CT23)</f>
        <v>1520843</v>
      </c>
      <c r="CU24" s="14">
        <v>620098</v>
      </c>
      <c r="CV24" s="14">
        <v>66845</v>
      </c>
      <c r="CW24" s="14">
        <v>658232</v>
      </c>
      <c r="CX24" s="14">
        <v>1133547</v>
      </c>
      <c r="CY24" s="14">
        <v>300872</v>
      </c>
    </row>
    <row r="25" spans="1:103" ht="18.75">
      <c r="Q25" s="21">
        <f t="shared" ref="Q25:W25" si="24">SUM(Q3:Q24)</f>
        <v>0</v>
      </c>
      <c r="R25" s="6">
        <f t="shared" si="24"/>
        <v>0</v>
      </c>
      <c r="S25" s="24">
        <f t="shared" si="24"/>
        <v>0</v>
      </c>
      <c r="T25" s="6">
        <f t="shared" si="24"/>
        <v>0</v>
      </c>
      <c r="U25" s="24">
        <f t="shared" si="24"/>
        <v>0</v>
      </c>
      <c r="V25" s="25">
        <f t="shared" si="24"/>
        <v>0</v>
      </c>
      <c r="W25" s="6">
        <f t="shared" si="24"/>
        <v>0</v>
      </c>
      <c r="CQ25" s="3">
        <v>215000</v>
      </c>
    </row>
    <row r="26" spans="1:103">
      <c r="A26" s="155">
        <v>1</v>
      </c>
      <c r="B26" s="15">
        <v>2</v>
      </c>
      <c r="C26" s="15">
        <v>3</v>
      </c>
      <c r="D26" s="155">
        <v>4</v>
      </c>
      <c r="E26" s="15">
        <v>5</v>
      </c>
      <c r="F26" s="15">
        <v>6</v>
      </c>
      <c r="G26" s="155">
        <v>7</v>
      </c>
      <c r="H26" s="15">
        <v>8</v>
      </c>
      <c r="I26" s="15">
        <v>9</v>
      </c>
      <c r="J26" s="155">
        <v>10</v>
      </c>
      <c r="K26" s="15">
        <v>11</v>
      </c>
      <c r="L26" s="15">
        <v>12</v>
      </c>
      <c r="M26" s="155">
        <v>13</v>
      </c>
      <c r="N26" s="15">
        <v>14</v>
      </c>
      <c r="O26" s="15">
        <v>15</v>
      </c>
      <c r="P26" s="155">
        <v>16</v>
      </c>
      <c r="Q26" s="15">
        <v>17</v>
      </c>
      <c r="R26" s="15">
        <v>18</v>
      </c>
      <c r="S26" s="155">
        <v>19</v>
      </c>
      <c r="T26" s="15">
        <v>20</v>
      </c>
      <c r="U26" s="15">
        <v>21</v>
      </c>
      <c r="V26" s="155">
        <v>22</v>
      </c>
      <c r="W26" s="15">
        <v>23</v>
      </c>
      <c r="X26" s="15">
        <v>24</v>
      </c>
      <c r="Y26" s="155">
        <v>25</v>
      </c>
      <c r="Z26" s="15">
        <v>26</v>
      </c>
      <c r="AA26" s="15">
        <v>27</v>
      </c>
      <c r="AB26" s="155">
        <v>28</v>
      </c>
      <c r="AC26" s="15">
        <v>29</v>
      </c>
      <c r="AD26" s="15">
        <v>30</v>
      </c>
      <c r="AE26" s="155">
        <v>31</v>
      </c>
      <c r="AF26" s="15">
        <v>32</v>
      </c>
      <c r="AG26" s="15">
        <v>33</v>
      </c>
      <c r="AH26" s="155">
        <v>34</v>
      </c>
      <c r="AI26" s="15">
        <v>35</v>
      </c>
      <c r="AJ26" s="15">
        <v>36</v>
      </c>
      <c r="AK26" s="155">
        <v>37</v>
      </c>
      <c r="AL26" s="15">
        <v>38</v>
      </c>
      <c r="AM26" s="15">
        <v>39</v>
      </c>
      <c r="AN26" s="155">
        <v>40</v>
      </c>
      <c r="AO26" s="15">
        <v>41</v>
      </c>
      <c r="AP26" s="15">
        <v>42</v>
      </c>
      <c r="AQ26" s="155">
        <v>43</v>
      </c>
      <c r="AR26" s="15">
        <v>44</v>
      </c>
      <c r="AS26" s="15">
        <v>45</v>
      </c>
      <c r="AT26" s="155">
        <v>46</v>
      </c>
      <c r="AU26" s="15">
        <v>47</v>
      </c>
      <c r="AV26" s="15">
        <v>48</v>
      </c>
      <c r="AW26" s="155">
        <v>49</v>
      </c>
      <c r="AX26" s="15">
        <v>50</v>
      </c>
      <c r="AY26" s="15">
        <v>51</v>
      </c>
      <c r="AZ26" s="155">
        <v>52</v>
      </c>
      <c r="BA26" s="15">
        <v>53</v>
      </c>
      <c r="BB26" s="15">
        <v>54</v>
      </c>
      <c r="BC26" s="155">
        <v>55</v>
      </c>
      <c r="BD26" s="15">
        <v>56</v>
      </c>
      <c r="BE26" s="15">
        <v>57</v>
      </c>
      <c r="BF26" s="155">
        <v>58</v>
      </c>
      <c r="BG26" s="15">
        <v>59</v>
      </c>
      <c r="BH26" s="15">
        <v>60</v>
      </c>
      <c r="BI26" s="155">
        <v>61</v>
      </c>
      <c r="BJ26" s="15">
        <v>62</v>
      </c>
      <c r="BK26" s="15">
        <v>63</v>
      </c>
      <c r="BL26" s="155">
        <v>64</v>
      </c>
      <c r="BM26" s="15">
        <v>65</v>
      </c>
      <c r="BN26" s="15">
        <v>66</v>
      </c>
      <c r="BO26" s="155">
        <v>67</v>
      </c>
      <c r="BP26" s="15">
        <v>68</v>
      </c>
      <c r="BQ26" s="15">
        <v>69</v>
      </c>
      <c r="BR26" s="155">
        <v>70</v>
      </c>
      <c r="BS26" s="15">
        <v>71</v>
      </c>
      <c r="BT26" s="15">
        <v>72</v>
      </c>
      <c r="BU26" s="155">
        <v>73</v>
      </c>
      <c r="BV26" s="15">
        <v>74</v>
      </c>
      <c r="BW26" s="15">
        <v>75</v>
      </c>
      <c r="BX26" s="155">
        <v>76</v>
      </c>
      <c r="BY26" s="15">
        <v>77</v>
      </c>
      <c r="BZ26" s="15">
        <v>78</v>
      </c>
      <c r="CA26" s="155">
        <v>79</v>
      </c>
      <c r="CB26" s="15">
        <v>80</v>
      </c>
      <c r="CC26" s="15">
        <v>81</v>
      </c>
      <c r="CD26" s="155">
        <v>82</v>
      </c>
      <c r="CE26" s="15">
        <v>83</v>
      </c>
      <c r="CF26" s="15">
        <v>84</v>
      </c>
      <c r="CG26" s="155">
        <v>85</v>
      </c>
      <c r="CH26" s="15">
        <v>86</v>
      </c>
      <c r="CI26" s="15">
        <v>87</v>
      </c>
      <c r="CJ26" s="155">
        <v>88</v>
      </c>
      <c r="CK26" s="15">
        <v>89</v>
      </c>
      <c r="CL26" s="15">
        <v>90</v>
      </c>
      <c r="CM26" s="155">
        <v>91</v>
      </c>
      <c r="CN26" s="15">
        <v>92</v>
      </c>
      <c r="CP26" s="14">
        <v>1578828</v>
      </c>
      <c r="CQ26" s="14">
        <v>1313648</v>
      </c>
      <c r="CR26" s="14"/>
    </row>
    <row r="27" spans="1:103">
      <c r="G27" s="14">
        <v>0</v>
      </c>
      <c r="O27" s="14">
        <v>0</v>
      </c>
      <c r="U27" s="14">
        <v>0</v>
      </c>
      <c r="AC27" s="14">
        <v>0</v>
      </c>
    </row>
    <row r="28" spans="1:103">
      <c r="C28" s="3" t="s">
        <v>18</v>
      </c>
      <c r="D28" s="14">
        <v>620098</v>
      </c>
      <c r="H28" s="3" t="s">
        <v>80</v>
      </c>
      <c r="I28" s="15" t="s">
        <v>81</v>
      </c>
      <c r="J28" s="3" t="s">
        <v>82</v>
      </c>
      <c r="CM28" s="14">
        <v>0</v>
      </c>
      <c r="CP28" s="27">
        <v>1879700</v>
      </c>
    </row>
    <row r="29" spans="1:103" ht="20.25">
      <c r="B29" s="190" t="s">
        <v>113</v>
      </c>
      <c r="C29" s="190"/>
      <c r="D29" s="190"/>
      <c r="E29" s="190"/>
      <c r="F29" s="190"/>
      <c r="G29" s="190"/>
      <c r="H29" s="14">
        <f>F24+M24+T25+AA24+AH24+AO24+AX24+BE24+BL24+BS24+BZ24+CG24</f>
        <v>144000</v>
      </c>
      <c r="I29" s="27">
        <f>D24+K24+R25+Y24+AF24+AM24+AV24+BC24+BJ24+BQ24+BX24+CE24</f>
        <v>174683</v>
      </c>
      <c r="J29" s="14">
        <f>I24+P24+W25+AD24+AK24+AS24+BA24+BH24+BO24+BV24+CC24+CJ24</f>
        <v>259287</v>
      </c>
      <c r="K29" s="14"/>
      <c r="O29" s="29">
        <f>M32-O31</f>
        <v>2</v>
      </c>
      <c r="CM29" s="14">
        <v>0</v>
      </c>
    </row>
    <row r="30" spans="1:103" ht="21">
      <c r="B30" s="54" t="s">
        <v>92</v>
      </c>
      <c r="C30" s="54" t="s">
        <v>45</v>
      </c>
      <c r="D30" s="54"/>
      <c r="E30" s="54" t="s">
        <v>93</v>
      </c>
      <c r="F30" s="54" t="s">
        <v>45</v>
      </c>
      <c r="G30" s="54"/>
      <c r="H30" s="14"/>
      <c r="I30" s="27"/>
      <c r="J30" s="14"/>
      <c r="K30" s="191" t="s">
        <v>114</v>
      </c>
      <c r="L30" s="191"/>
      <c r="M30" s="191"/>
      <c r="N30" s="191"/>
      <c r="O30" s="191"/>
      <c r="P30" s="191"/>
      <c r="Q30" s="191"/>
      <c r="R30" s="191"/>
      <c r="S30" s="191"/>
      <c r="BF30" s="3">
        <v>0</v>
      </c>
      <c r="CM30" s="14">
        <v>0</v>
      </c>
      <c r="CP30" s="14">
        <v>1578828</v>
      </c>
      <c r="CS30" s="3">
        <f>CS21*100/CQ21</f>
        <v>2.5397168485896464</v>
      </c>
      <c r="CT30" s="40">
        <f>CS21/12</f>
        <v>19.583333333333332</v>
      </c>
    </row>
    <row r="31" spans="1:103">
      <c r="B31" s="5" t="s">
        <v>84</v>
      </c>
      <c r="C31" s="170">
        <f>H29+F34</f>
        <v>198712</v>
      </c>
      <c r="D31" s="170"/>
      <c r="E31" s="170"/>
      <c r="F31" s="170"/>
      <c r="G31" s="5"/>
      <c r="K31" s="173" t="s">
        <v>44</v>
      </c>
      <c r="L31" s="173"/>
      <c r="M31" s="173" t="s">
        <v>45</v>
      </c>
      <c r="N31" s="173"/>
      <c r="O31" s="6">
        <f>CQ24</f>
        <v>1494950</v>
      </c>
      <c r="P31" s="173" t="s">
        <v>46</v>
      </c>
      <c r="Q31" s="173"/>
      <c r="R31" s="173" t="s">
        <v>45</v>
      </c>
      <c r="S31" s="173"/>
      <c r="CR31" s="14"/>
    </row>
    <row r="32" spans="1:103" ht="15.75">
      <c r="B32" s="5" t="s">
        <v>73</v>
      </c>
      <c r="C32" s="170">
        <f>G24+N24+U25+AB24+AI24+AP24+AY24+BF24+BT24+CA24+CH24+BM24</f>
        <v>50000</v>
      </c>
      <c r="D32" s="170"/>
      <c r="E32" s="170" t="s">
        <v>47</v>
      </c>
      <c r="F32" s="170">
        <f>J29</f>
        <v>259287</v>
      </c>
      <c r="G32" s="6">
        <v>658232</v>
      </c>
      <c r="K32" s="192" t="s">
        <v>48</v>
      </c>
      <c r="L32" s="192"/>
      <c r="M32" s="193">
        <f>M34+(M35-M36)</f>
        <v>1494952</v>
      </c>
      <c r="N32" s="192"/>
      <c r="O32" s="5"/>
      <c r="P32" s="192" t="s">
        <v>49</v>
      </c>
      <c r="Q32" s="192"/>
      <c r="R32" s="193">
        <f>R33+(R34-R35)</f>
        <v>205249</v>
      </c>
      <c r="S32" s="193"/>
      <c r="T32" s="3" t="s">
        <v>20</v>
      </c>
    </row>
    <row r="33" spans="2:23">
      <c r="B33" s="5" t="s">
        <v>50</v>
      </c>
      <c r="C33" s="170">
        <f>I29</f>
        <v>174683</v>
      </c>
      <c r="D33" s="170">
        <v>620098</v>
      </c>
      <c r="E33" s="171" t="s">
        <v>51</v>
      </c>
      <c r="F33" s="171">
        <v>100000</v>
      </c>
      <c r="G33" s="5"/>
      <c r="H33" s="31">
        <f>F40-C40</f>
        <v>0</v>
      </c>
      <c r="K33" s="173"/>
      <c r="L33" s="173"/>
      <c r="M33" s="173"/>
      <c r="N33" s="173"/>
      <c r="O33" s="5"/>
      <c r="P33" s="173" t="s">
        <v>52</v>
      </c>
      <c r="Q33" s="173"/>
      <c r="R33" s="174">
        <f>'2019'!R34:S34</f>
        <v>48778</v>
      </c>
      <c r="S33" s="174"/>
    </row>
    <row r="34" spans="2:23">
      <c r="B34" s="5" t="s">
        <v>53</v>
      </c>
      <c r="C34" s="170">
        <f>E24+L24+S25+Z24+AG24+AN24+AW24+BD24+BK24+BR24+BY24+CF24</f>
        <v>33157</v>
      </c>
      <c r="D34" s="170"/>
      <c r="E34" s="171" t="s">
        <v>54</v>
      </c>
      <c r="F34" s="171">
        <f>'2019'!M41</f>
        <v>54712</v>
      </c>
      <c r="G34" s="5"/>
      <c r="H34" s="30"/>
      <c r="K34" s="173" t="s">
        <v>52</v>
      </c>
      <c r="L34" s="173"/>
      <c r="M34" s="174">
        <f>'2019'!M34</f>
        <v>1296240</v>
      </c>
      <c r="N34" s="174"/>
      <c r="O34" s="5"/>
      <c r="P34" s="173" t="s">
        <v>56</v>
      </c>
      <c r="Q34" s="173"/>
      <c r="R34" s="174">
        <f>F36</f>
        <v>296471</v>
      </c>
      <c r="S34" s="174"/>
    </row>
    <row r="35" spans="2:23">
      <c r="B35" s="5"/>
      <c r="C35" s="170"/>
      <c r="D35" s="170"/>
      <c r="E35" s="171" t="s">
        <v>57</v>
      </c>
      <c r="F35" s="171">
        <v>0</v>
      </c>
      <c r="G35" s="5"/>
      <c r="H35" s="30"/>
      <c r="K35" s="173" t="s">
        <v>58</v>
      </c>
      <c r="L35" s="173"/>
      <c r="M35" s="174">
        <f>C31</f>
        <v>198712</v>
      </c>
      <c r="N35" s="174"/>
      <c r="O35" s="5"/>
      <c r="P35" s="173" t="s">
        <v>59</v>
      </c>
      <c r="Q35" s="173"/>
      <c r="R35" s="174">
        <f>C37</f>
        <v>140000</v>
      </c>
      <c r="S35" s="174"/>
    </row>
    <row r="36" spans="2:23" ht="15.75">
      <c r="B36" s="5" t="s">
        <v>60</v>
      </c>
      <c r="C36" s="170"/>
      <c r="D36" s="170"/>
      <c r="E36" s="171" t="s">
        <v>61</v>
      </c>
      <c r="F36" s="171">
        <v>296471</v>
      </c>
      <c r="G36" s="5"/>
      <c r="H36" s="30"/>
      <c r="K36" s="173" t="s">
        <v>62</v>
      </c>
      <c r="L36" s="173"/>
      <c r="M36" s="174">
        <f>F35</f>
        <v>0</v>
      </c>
      <c r="N36" s="174"/>
      <c r="O36" s="5"/>
      <c r="P36" s="192" t="s">
        <v>11</v>
      </c>
      <c r="Q36" s="192"/>
      <c r="R36" s="193">
        <f>R37+(R38-R39)</f>
        <v>100000</v>
      </c>
      <c r="S36" s="193"/>
      <c r="T36" s="3" t="s">
        <v>20</v>
      </c>
    </row>
    <row r="37" spans="2:23">
      <c r="B37" s="55" t="s">
        <v>85</v>
      </c>
      <c r="C37" s="168">
        <f>125000+15000</f>
        <v>140000</v>
      </c>
      <c r="D37" s="168"/>
      <c r="E37" s="171" t="s">
        <v>63</v>
      </c>
      <c r="F37" s="171">
        <v>0</v>
      </c>
      <c r="G37" s="5"/>
      <c r="H37" s="30"/>
      <c r="I37" s="15"/>
      <c r="K37" s="173"/>
      <c r="L37" s="173"/>
      <c r="M37" s="174"/>
      <c r="N37" s="174"/>
      <c r="O37" s="5"/>
      <c r="P37" s="173" t="s">
        <v>52</v>
      </c>
      <c r="Q37" s="173"/>
      <c r="R37" s="174">
        <f>'2019'!R38:S38</f>
        <v>50000</v>
      </c>
      <c r="S37" s="174"/>
    </row>
    <row r="38" spans="2:23">
      <c r="B38" s="55" t="s">
        <v>64</v>
      </c>
      <c r="C38" s="171">
        <f>'2019'!F39</f>
        <v>121182</v>
      </c>
      <c r="D38" s="171"/>
      <c r="E38" s="171" t="s">
        <v>65</v>
      </c>
      <c r="F38" s="171">
        <v>6364</v>
      </c>
      <c r="G38" s="5"/>
      <c r="H38" s="30"/>
      <c r="I38" s="15"/>
      <c r="K38" s="173" t="s">
        <v>66</v>
      </c>
      <c r="L38" s="173"/>
      <c r="M38" s="174"/>
      <c r="N38" s="174"/>
      <c r="O38" s="5"/>
      <c r="P38" s="173" t="s">
        <v>67</v>
      </c>
      <c r="Q38" s="173"/>
      <c r="R38" s="174">
        <f>F33</f>
        <v>100000</v>
      </c>
      <c r="S38" s="174"/>
    </row>
    <row r="39" spans="2:23">
      <c r="B39" s="5"/>
      <c r="C39" s="170"/>
      <c r="D39" s="170"/>
      <c r="E39" s="171" t="s">
        <v>72</v>
      </c>
      <c r="F39" s="171">
        <v>900</v>
      </c>
      <c r="G39" s="5"/>
      <c r="I39" s="15"/>
      <c r="K39" s="173"/>
      <c r="L39" s="173"/>
      <c r="M39" s="174">
        <v>25893</v>
      </c>
      <c r="N39" s="174"/>
      <c r="O39" s="5"/>
      <c r="P39" s="173" t="s">
        <v>58</v>
      </c>
      <c r="Q39" s="173"/>
      <c r="R39" s="174">
        <f>C32</f>
        <v>50000</v>
      </c>
      <c r="S39" s="174"/>
      <c r="W39" s="3" t="s">
        <v>13</v>
      </c>
    </row>
    <row r="40" spans="2:23" ht="18.75">
      <c r="B40" s="83" t="s">
        <v>94</v>
      </c>
      <c r="C40" s="172">
        <f>SUM(C31:C39)</f>
        <v>717734</v>
      </c>
      <c r="D40" s="172"/>
      <c r="E40" s="172" t="s">
        <v>94</v>
      </c>
      <c r="F40" s="172">
        <f>SUM(F32:F39)</f>
        <v>717734</v>
      </c>
      <c r="G40" s="5"/>
      <c r="I40" s="15"/>
      <c r="K40" s="173"/>
      <c r="L40" s="173"/>
      <c r="M40" s="174"/>
      <c r="N40" s="174"/>
      <c r="O40" s="5"/>
      <c r="P40" s="192" t="s">
        <v>7</v>
      </c>
      <c r="Q40" s="192"/>
      <c r="R40" s="194">
        <f>R41+(R42-R43)</f>
        <v>1215596</v>
      </c>
      <c r="S40" s="194"/>
      <c r="U40" s="29">
        <f>R45-M45</f>
        <v>0</v>
      </c>
      <c r="W40" s="14">
        <f>CL24</f>
        <v>1215596</v>
      </c>
    </row>
    <row r="41" spans="2:23" ht="15.75" thickBot="1">
      <c r="I41" s="15"/>
      <c r="K41" s="173"/>
      <c r="L41" s="173"/>
      <c r="M41" s="174"/>
      <c r="N41" s="174"/>
      <c r="O41" s="5"/>
      <c r="P41" s="173" t="s">
        <v>52</v>
      </c>
      <c r="Q41" s="173"/>
      <c r="R41" s="174">
        <f>'2019'!R42</f>
        <v>1130992</v>
      </c>
      <c r="S41" s="174"/>
      <c r="W41" s="29">
        <f>R40-W40</f>
        <v>0</v>
      </c>
    </row>
    <row r="42" spans="2:23">
      <c r="B42" s="86" t="s">
        <v>106</v>
      </c>
      <c r="C42" s="42"/>
      <c r="D42" s="97"/>
      <c r="E42" s="91"/>
      <c r="K42" s="63"/>
      <c r="L42" s="63"/>
      <c r="M42" s="62"/>
      <c r="N42" s="62"/>
      <c r="O42" s="5"/>
      <c r="P42" s="173" t="s">
        <v>67</v>
      </c>
      <c r="Q42" s="173"/>
      <c r="R42" s="174">
        <f>F32</f>
        <v>259287</v>
      </c>
      <c r="S42" s="174"/>
      <c r="W42" s="15"/>
    </row>
    <row r="43" spans="2:23">
      <c r="B43" s="44"/>
      <c r="C43" s="46"/>
      <c r="D43" s="45"/>
      <c r="E43" s="87"/>
      <c r="K43" s="173"/>
      <c r="L43" s="173"/>
      <c r="M43" s="174"/>
      <c r="N43" s="174"/>
      <c r="O43" s="5"/>
      <c r="P43" s="173" t="s">
        <v>58</v>
      </c>
      <c r="Q43" s="173"/>
      <c r="R43" s="174">
        <f>C33</f>
        <v>174683</v>
      </c>
      <c r="S43" s="174"/>
      <c r="W43" s="29"/>
    </row>
    <row r="44" spans="2:23">
      <c r="B44" s="44"/>
      <c r="C44" s="46"/>
      <c r="D44" s="46"/>
      <c r="E44" s="87"/>
      <c r="K44" s="63"/>
      <c r="L44" s="63"/>
      <c r="M44" s="62"/>
      <c r="N44" s="62"/>
      <c r="O44" s="5"/>
      <c r="P44" s="173" t="s">
        <v>68</v>
      </c>
      <c r="Q44" s="173"/>
      <c r="R44" s="174">
        <f>F37</f>
        <v>0</v>
      </c>
      <c r="S44" s="174"/>
    </row>
    <row r="45" spans="2:23" ht="19.5" thickBot="1">
      <c r="B45" s="49"/>
      <c r="C45" s="94"/>
      <c r="D45" s="98"/>
      <c r="E45" s="51"/>
      <c r="K45" s="195" t="s">
        <v>12</v>
      </c>
      <c r="L45" s="195"/>
      <c r="M45" s="196">
        <f>M32+M39</f>
        <v>1520845</v>
      </c>
      <c r="N45" s="196"/>
      <c r="O45" s="83"/>
      <c r="P45" s="195" t="s">
        <v>12</v>
      </c>
      <c r="Q45" s="195"/>
      <c r="R45" s="196">
        <f>R32+R36+R40+R44</f>
        <v>1520845</v>
      </c>
      <c r="S45" s="196"/>
    </row>
    <row r="46" spans="2:23">
      <c r="B46" s="32"/>
      <c r="E46" s="32"/>
      <c r="G46" s="199" t="str">
        <f>IF(OR(C40&lt;&gt;F40,M45&lt;&gt;R45),"MIS MATCH","OK")</f>
        <v>OK</v>
      </c>
      <c r="H46" s="199"/>
      <c r="I46" s="199"/>
      <c r="J46" s="199"/>
    </row>
    <row r="47" spans="2:23">
      <c r="B47" s="32"/>
      <c r="E47" s="33"/>
      <c r="F47" s="30"/>
      <c r="G47" s="199"/>
      <c r="H47" s="199"/>
      <c r="I47" s="199"/>
      <c r="J47" s="199"/>
    </row>
    <row r="48" spans="2:23">
      <c r="B48" s="32"/>
      <c r="E48" s="33"/>
      <c r="F48" s="30"/>
      <c r="G48" s="199"/>
      <c r="H48" s="199"/>
      <c r="I48" s="199"/>
      <c r="J48" s="199"/>
    </row>
    <row r="49" spans="1:9" ht="21">
      <c r="A49" s="197" t="s">
        <v>114</v>
      </c>
      <c r="B49" s="198"/>
      <c r="C49" s="198"/>
      <c r="D49" s="198"/>
      <c r="E49" s="198"/>
      <c r="F49" s="198"/>
      <c r="G49" s="198"/>
      <c r="H49" s="163"/>
      <c r="I49" s="164"/>
    </row>
    <row r="50" spans="1:9">
      <c r="A50" s="207" t="s">
        <v>44</v>
      </c>
      <c r="B50" s="208"/>
      <c r="C50" s="207" t="s">
        <v>45</v>
      </c>
      <c r="D50" s="208"/>
      <c r="E50" s="64" t="s">
        <v>46</v>
      </c>
      <c r="F50" s="207" t="s">
        <v>45</v>
      </c>
      <c r="G50" s="208"/>
      <c r="H50" s="207"/>
      <c r="I50" s="208"/>
    </row>
    <row r="51" spans="1:9" ht="15.75">
      <c r="A51" s="200" t="s">
        <v>48</v>
      </c>
      <c r="B51" s="201"/>
      <c r="C51" s="202">
        <f>M32</f>
        <v>1494952</v>
      </c>
      <c r="D51" s="203"/>
      <c r="E51" s="166" t="s">
        <v>49</v>
      </c>
      <c r="F51" s="202">
        <f t="shared" ref="F51:F63" si="25">R32</f>
        <v>205249</v>
      </c>
      <c r="G51" s="204"/>
      <c r="H51" s="205"/>
      <c r="I51" s="206"/>
    </row>
    <row r="52" spans="1:9">
      <c r="A52" s="207"/>
      <c r="B52" s="208"/>
      <c r="C52" s="209"/>
      <c r="D52" s="210"/>
      <c r="E52" s="167" t="s">
        <v>52</v>
      </c>
      <c r="F52" s="209">
        <f t="shared" si="25"/>
        <v>48778</v>
      </c>
      <c r="G52" s="210"/>
      <c r="H52" s="211"/>
      <c r="I52" s="212"/>
    </row>
    <row r="53" spans="1:9">
      <c r="A53" s="207" t="s">
        <v>52</v>
      </c>
      <c r="B53" s="208"/>
      <c r="C53" s="209">
        <f>M34</f>
        <v>1296240</v>
      </c>
      <c r="D53" s="210"/>
      <c r="E53" s="167" t="s">
        <v>56</v>
      </c>
      <c r="F53" s="209">
        <f t="shared" si="25"/>
        <v>296471</v>
      </c>
      <c r="G53" s="210"/>
      <c r="H53" s="211"/>
      <c r="I53" s="212"/>
    </row>
    <row r="54" spans="1:9">
      <c r="A54" s="207" t="s">
        <v>58</v>
      </c>
      <c r="B54" s="208"/>
      <c r="C54" s="209">
        <f>M35</f>
        <v>198712</v>
      </c>
      <c r="D54" s="210"/>
      <c r="E54" s="167" t="s">
        <v>59</v>
      </c>
      <c r="F54" s="209">
        <f t="shared" si="25"/>
        <v>140000</v>
      </c>
      <c r="G54" s="210"/>
      <c r="H54" s="211"/>
      <c r="I54" s="212"/>
    </row>
    <row r="55" spans="1:9" ht="15.75">
      <c r="A55" s="207" t="s">
        <v>62</v>
      </c>
      <c r="B55" s="208"/>
      <c r="C55" s="209">
        <f>M36</f>
        <v>0</v>
      </c>
      <c r="D55" s="210"/>
      <c r="E55" s="166" t="s">
        <v>11</v>
      </c>
      <c r="F55" s="202">
        <f t="shared" si="25"/>
        <v>100000</v>
      </c>
      <c r="G55" s="204"/>
      <c r="H55" s="205"/>
      <c r="I55" s="206"/>
    </row>
    <row r="56" spans="1:9">
      <c r="A56" s="207"/>
      <c r="B56" s="208"/>
      <c r="C56" s="209"/>
      <c r="D56" s="210"/>
      <c r="E56" s="167" t="s">
        <v>52</v>
      </c>
      <c r="F56" s="209">
        <f t="shared" si="25"/>
        <v>50000</v>
      </c>
      <c r="G56" s="210"/>
      <c r="H56" s="211"/>
      <c r="I56" s="212"/>
    </row>
    <row r="57" spans="1:9">
      <c r="A57" s="207" t="s">
        <v>66</v>
      </c>
      <c r="B57" s="208"/>
      <c r="C57" s="209"/>
      <c r="D57" s="210"/>
      <c r="E57" s="167" t="s">
        <v>67</v>
      </c>
      <c r="F57" s="209">
        <f t="shared" si="25"/>
        <v>100000</v>
      </c>
      <c r="G57" s="210"/>
      <c r="H57" s="211"/>
      <c r="I57" s="212"/>
    </row>
    <row r="58" spans="1:9">
      <c r="A58" s="207"/>
      <c r="B58" s="208"/>
      <c r="C58" s="209">
        <f>M39</f>
        <v>25893</v>
      </c>
      <c r="D58" s="210"/>
      <c r="E58" s="167" t="s">
        <v>58</v>
      </c>
      <c r="F58" s="209">
        <f t="shared" si="25"/>
        <v>50000</v>
      </c>
      <c r="G58" s="210"/>
      <c r="H58" s="211"/>
      <c r="I58" s="212"/>
    </row>
    <row r="59" spans="1:9" ht="15.75">
      <c r="A59" s="207"/>
      <c r="B59" s="208"/>
      <c r="C59" s="209"/>
      <c r="D59" s="210"/>
      <c r="E59" s="166" t="s">
        <v>7</v>
      </c>
      <c r="F59" s="213">
        <f t="shared" si="25"/>
        <v>1215596</v>
      </c>
      <c r="G59" s="214"/>
      <c r="H59" s="215"/>
      <c r="I59" s="216"/>
    </row>
    <row r="60" spans="1:9">
      <c r="A60" s="207"/>
      <c r="B60" s="208"/>
      <c r="C60" s="209"/>
      <c r="D60" s="210"/>
      <c r="E60" s="167" t="s">
        <v>52</v>
      </c>
      <c r="F60" s="209">
        <f t="shared" si="25"/>
        <v>1130992</v>
      </c>
      <c r="G60" s="210"/>
      <c r="H60" s="211"/>
      <c r="I60" s="212"/>
    </row>
    <row r="61" spans="1:9">
      <c r="A61" s="161"/>
      <c r="B61" s="161"/>
      <c r="C61" s="168"/>
      <c r="D61" s="168"/>
      <c r="E61" s="167" t="s">
        <v>67</v>
      </c>
      <c r="F61" s="209">
        <f t="shared" si="25"/>
        <v>259287</v>
      </c>
      <c r="G61" s="210"/>
      <c r="H61" s="211"/>
      <c r="I61" s="212"/>
    </row>
    <row r="62" spans="1:9">
      <c r="A62" s="207"/>
      <c r="B62" s="208"/>
      <c r="C62" s="209"/>
      <c r="D62" s="210"/>
      <c r="E62" s="167" t="s">
        <v>58</v>
      </c>
      <c r="F62" s="209">
        <f t="shared" si="25"/>
        <v>174683</v>
      </c>
      <c r="G62" s="210"/>
      <c r="H62" s="211"/>
      <c r="I62" s="212"/>
    </row>
    <row r="63" spans="1:9">
      <c r="A63" s="161"/>
      <c r="B63" s="161"/>
      <c r="C63" s="168"/>
      <c r="D63" s="168"/>
      <c r="E63" s="167" t="s">
        <v>68</v>
      </c>
      <c r="F63" s="209">
        <f t="shared" si="25"/>
        <v>0</v>
      </c>
      <c r="G63" s="210"/>
      <c r="H63" s="211"/>
      <c r="I63" s="212"/>
    </row>
    <row r="64" spans="1:9" ht="18.75">
      <c r="A64" s="217" t="s">
        <v>12</v>
      </c>
      <c r="B64" s="218"/>
      <c r="C64" s="219">
        <f>C51+C58</f>
        <v>1520845</v>
      </c>
      <c r="D64" s="220"/>
      <c r="E64" s="169" t="s">
        <v>12</v>
      </c>
      <c r="F64" s="219">
        <f>F51+F55+F59+F63</f>
        <v>1520845</v>
      </c>
      <c r="G64" s="220"/>
      <c r="H64" s="221"/>
      <c r="I64" s="222"/>
    </row>
  </sheetData>
  <mergeCells count="116">
    <mergeCell ref="F63:G63"/>
    <mergeCell ref="H63:I63"/>
    <mergeCell ref="A64:B64"/>
    <mergeCell ref="C64:D64"/>
    <mergeCell ref="F64:G64"/>
    <mergeCell ref="H64:I64"/>
    <mergeCell ref="F61:G61"/>
    <mergeCell ref="H61:I61"/>
    <mergeCell ref="A62:B62"/>
    <mergeCell ref="C62:D62"/>
    <mergeCell ref="F62:G62"/>
    <mergeCell ref="H62:I62"/>
    <mergeCell ref="A59:B59"/>
    <mergeCell ref="C59:D59"/>
    <mergeCell ref="F59:G59"/>
    <mergeCell ref="H59:I59"/>
    <mergeCell ref="A60:B60"/>
    <mergeCell ref="C60:D60"/>
    <mergeCell ref="F60:G60"/>
    <mergeCell ref="H60:I60"/>
    <mergeCell ref="A57:B57"/>
    <mergeCell ref="C57:D57"/>
    <mergeCell ref="F57:G57"/>
    <mergeCell ref="H57:I57"/>
    <mergeCell ref="A58:B58"/>
    <mergeCell ref="C58:D58"/>
    <mergeCell ref="F58:G58"/>
    <mergeCell ref="H58:I58"/>
    <mergeCell ref="A55:B55"/>
    <mergeCell ref="C55:D55"/>
    <mergeCell ref="F55:G55"/>
    <mergeCell ref="H55:I55"/>
    <mergeCell ref="A56:B56"/>
    <mergeCell ref="C56:D56"/>
    <mergeCell ref="F56:G56"/>
    <mergeCell ref="H56:I56"/>
    <mergeCell ref="A53:B53"/>
    <mergeCell ref="C53:D53"/>
    <mergeCell ref="F53:G53"/>
    <mergeCell ref="H53:I53"/>
    <mergeCell ref="A54:B54"/>
    <mergeCell ref="C54:D54"/>
    <mergeCell ref="F54:G54"/>
    <mergeCell ref="H54:I54"/>
    <mergeCell ref="A51:B51"/>
    <mergeCell ref="C51:D51"/>
    <mergeCell ref="F51:G51"/>
    <mergeCell ref="H51:I51"/>
    <mergeCell ref="A52:B52"/>
    <mergeCell ref="C52:D52"/>
    <mergeCell ref="F52:G52"/>
    <mergeCell ref="H52:I52"/>
    <mergeCell ref="A50:B50"/>
    <mergeCell ref="C50:D50"/>
    <mergeCell ref="F50:G50"/>
    <mergeCell ref="H50:I50"/>
    <mergeCell ref="A49:G49"/>
    <mergeCell ref="P44:Q44"/>
    <mergeCell ref="R44:S44"/>
    <mergeCell ref="K45:L45"/>
    <mergeCell ref="M45:N45"/>
    <mergeCell ref="P45:Q45"/>
    <mergeCell ref="R45:S45"/>
    <mergeCell ref="P42:Q42"/>
    <mergeCell ref="R42:S42"/>
    <mergeCell ref="K43:L43"/>
    <mergeCell ref="M43:N43"/>
    <mergeCell ref="P43:Q43"/>
    <mergeCell ref="R43:S43"/>
    <mergeCell ref="G46:J48"/>
    <mergeCell ref="K40:L40"/>
    <mergeCell ref="M40:N40"/>
    <mergeCell ref="P40:Q40"/>
    <mergeCell ref="R40:S40"/>
    <mergeCell ref="K41:L41"/>
    <mergeCell ref="M41:N41"/>
    <mergeCell ref="P41:Q41"/>
    <mergeCell ref="R41:S41"/>
    <mergeCell ref="K38:L38"/>
    <mergeCell ref="M38:N38"/>
    <mergeCell ref="P38:Q38"/>
    <mergeCell ref="R38:S38"/>
    <mergeCell ref="K39:L39"/>
    <mergeCell ref="M39:N39"/>
    <mergeCell ref="P39:Q39"/>
    <mergeCell ref="R39:S39"/>
    <mergeCell ref="K36:L36"/>
    <mergeCell ref="M36:N36"/>
    <mergeCell ref="P36:Q36"/>
    <mergeCell ref="R36:S36"/>
    <mergeCell ref="K37:L37"/>
    <mergeCell ref="M37:N37"/>
    <mergeCell ref="P37:Q37"/>
    <mergeCell ref="R37:S37"/>
    <mergeCell ref="M34:N34"/>
    <mergeCell ref="P34:Q34"/>
    <mergeCell ref="R34:S34"/>
    <mergeCell ref="K35:L35"/>
    <mergeCell ref="M35:N35"/>
    <mergeCell ref="P35:Q35"/>
    <mergeCell ref="R35:S35"/>
    <mergeCell ref="K33:L33"/>
    <mergeCell ref="M33:N33"/>
    <mergeCell ref="P33:Q33"/>
    <mergeCell ref="R33:S33"/>
    <mergeCell ref="K34:L34"/>
    <mergeCell ref="B29:G29"/>
    <mergeCell ref="K30:S30"/>
    <mergeCell ref="K31:L31"/>
    <mergeCell ref="M31:N31"/>
    <mergeCell ref="P31:Q31"/>
    <mergeCell ref="R31:S31"/>
    <mergeCell ref="K32:L32"/>
    <mergeCell ref="M32:N32"/>
    <mergeCell ref="P32:Q32"/>
    <mergeCell ref="R32:S32"/>
  </mergeCells>
  <pageMargins left="0" right="0" top="0" bottom="0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I30"/>
  <sheetViews>
    <sheetView tabSelected="1" workbookViewId="0">
      <selection activeCell="AA34" sqref="AA34:AB34"/>
    </sheetView>
  </sheetViews>
  <sheetFormatPr defaultRowHeight="15"/>
  <cols>
    <col min="12" max="12" width="2.140625" customWidth="1"/>
    <col min="13" max="13" width="2.140625" style="3" customWidth="1"/>
    <col min="14" max="14" width="10" customWidth="1"/>
    <col min="15" max="15" width="11.28515625" customWidth="1"/>
    <col min="16" max="16" width="11" customWidth="1"/>
    <col min="18" max="18" width="11" customWidth="1"/>
    <col min="20" max="20" width="11.140625" customWidth="1"/>
    <col min="21" max="21" width="12.7109375" customWidth="1"/>
    <col min="22" max="22" width="11.5703125" customWidth="1"/>
    <col min="23" max="23" width="2" style="3" customWidth="1"/>
  </cols>
  <sheetData>
    <row r="1" spans="1:35" ht="21.75" customHeight="1" thickTop="1">
      <c r="A1" s="46"/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3"/>
      <c r="N1" s="225" t="s">
        <v>146</v>
      </c>
      <c r="O1" s="225"/>
      <c r="P1" s="227" t="str">
        <f>VLOOKUP(Y28,'2020'!A2:DA28,2,FALSE)</f>
        <v>Kakali Dutta</v>
      </c>
      <c r="Q1" s="227"/>
      <c r="R1" s="227"/>
      <c r="S1" s="227"/>
      <c r="T1" s="227"/>
      <c r="U1" s="227"/>
      <c r="V1" s="227"/>
      <c r="W1" s="120"/>
      <c r="Y1" s="103"/>
      <c r="Z1" s="238" t="s">
        <v>116</v>
      </c>
      <c r="AA1" s="238"/>
      <c r="AB1" s="238"/>
      <c r="AC1" s="238"/>
      <c r="AD1" s="238"/>
      <c r="AE1" s="238"/>
      <c r="AF1" s="238"/>
      <c r="AG1" s="238"/>
      <c r="AH1" s="238"/>
      <c r="AI1" s="239"/>
    </row>
    <row r="2" spans="1:35" ht="10.5" customHeight="1">
      <c r="A2" s="46"/>
      <c r="B2" s="240"/>
      <c r="C2" s="240"/>
      <c r="D2" s="240"/>
      <c r="E2" s="240"/>
      <c r="F2" s="240"/>
      <c r="G2" s="240"/>
      <c r="H2" s="240"/>
      <c r="I2" s="240"/>
      <c r="J2" s="240"/>
      <c r="K2" s="240"/>
      <c r="L2" s="3"/>
      <c r="N2" s="226"/>
      <c r="O2" s="226"/>
      <c r="P2" s="228"/>
      <c r="Q2" s="228"/>
      <c r="R2" s="228"/>
      <c r="S2" s="228"/>
      <c r="T2" s="228"/>
      <c r="U2" s="228"/>
      <c r="V2" s="228"/>
      <c r="W2" s="121"/>
      <c r="Y2" s="104"/>
      <c r="Z2" s="240"/>
      <c r="AA2" s="240"/>
      <c r="AB2" s="240"/>
      <c r="AC2" s="240"/>
      <c r="AD2" s="240"/>
      <c r="AE2" s="240"/>
      <c r="AF2" s="240"/>
      <c r="AG2" s="240"/>
      <c r="AH2" s="240"/>
      <c r="AI2" s="241"/>
    </row>
    <row r="3" spans="1:35" ht="21" customHeight="1">
      <c r="A3" s="46"/>
      <c r="B3" s="46"/>
      <c r="C3" s="242"/>
      <c r="D3" s="242"/>
      <c r="E3" s="242"/>
      <c r="F3" s="242"/>
      <c r="G3" s="242"/>
      <c r="H3" s="242"/>
      <c r="I3" s="242"/>
      <c r="J3" s="242"/>
      <c r="K3" s="242"/>
      <c r="L3" s="3"/>
      <c r="N3" s="118" t="s">
        <v>129</v>
      </c>
      <c r="O3" s="118" t="s">
        <v>130</v>
      </c>
      <c r="P3" s="118" t="s">
        <v>131</v>
      </c>
      <c r="Q3" s="119" t="s">
        <v>89</v>
      </c>
      <c r="R3" s="119" t="s">
        <v>10</v>
      </c>
      <c r="S3" s="119" t="s">
        <v>11</v>
      </c>
      <c r="T3" s="119" t="s">
        <v>94</v>
      </c>
      <c r="U3" s="119" t="s">
        <v>145</v>
      </c>
      <c r="V3" s="119" t="s">
        <v>144</v>
      </c>
      <c r="W3" s="122"/>
      <c r="Y3" s="104"/>
      <c r="Z3" s="46"/>
      <c r="AA3" s="242" t="s">
        <v>117</v>
      </c>
      <c r="AB3" s="242"/>
      <c r="AC3" s="242"/>
      <c r="AD3" s="242"/>
      <c r="AE3" s="242"/>
      <c r="AF3" s="242"/>
      <c r="AG3" s="242"/>
      <c r="AH3" s="242"/>
      <c r="AI3" s="243"/>
    </row>
    <row r="4" spans="1:35">
      <c r="A4" s="46"/>
      <c r="B4" s="244"/>
      <c r="C4" s="244"/>
      <c r="D4" s="244"/>
      <c r="E4" s="244"/>
      <c r="F4" s="244"/>
      <c r="G4" s="244"/>
      <c r="H4" s="244"/>
      <c r="I4" s="244"/>
      <c r="J4" s="244"/>
      <c r="K4" s="244"/>
      <c r="L4" s="3"/>
      <c r="N4" s="231" t="s">
        <v>132</v>
      </c>
      <c r="O4" s="229"/>
      <c r="P4" s="229"/>
      <c r="Q4" s="229"/>
      <c r="R4" s="230">
        <f>VLOOKUP(Y28,'2020'!A2:DA28,85,FALSE)</f>
        <v>500</v>
      </c>
      <c r="S4" s="229"/>
      <c r="T4" s="229"/>
      <c r="U4" s="229"/>
      <c r="V4" s="229"/>
      <c r="W4" s="123"/>
      <c r="Y4" s="104"/>
      <c r="Z4" s="244" t="s">
        <v>118</v>
      </c>
      <c r="AA4" s="244"/>
      <c r="AB4" s="244"/>
      <c r="AC4" s="244"/>
      <c r="AD4" s="244"/>
      <c r="AE4" s="244"/>
      <c r="AF4" s="244"/>
      <c r="AG4" s="244"/>
      <c r="AH4" s="244"/>
      <c r="AI4" s="245"/>
    </row>
    <row r="5" spans="1:35">
      <c r="A5" s="46"/>
      <c r="B5" s="46"/>
      <c r="C5" s="246"/>
      <c r="D5" s="246"/>
      <c r="E5" s="246"/>
      <c r="F5" s="246"/>
      <c r="G5" s="246"/>
      <c r="H5" s="246"/>
      <c r="I5" s="246"/>
      <c r="J5" s="46"/>
      <c r="K5" s="46"/>
      <c r="L5" s="3"/>
      <c r="N5" s="231"/>
      <c r="O5" s="229"/>
      <c r="P5" s="229"/>
      <c r="Q5" s="229"/>
      <c r="R5" s="230"/>
      <c r="S5" s="229"/>
      <c r="T5" s="229"/>
      <c r="U5" s="229"/>
      <c r="V5" s="229"/>
      <c r="W5" s="123"/>
      <c r="Y5" s="104"/>
      <c r="Z5" s="46"/>
      <c r="AA5" s="246" t="s">
        <v>119</v>
      </c>
      <c r="AB5" s="246"/>
      <c r="AC5" s="246"/>
      <c r="AD5" s="246"/>
      <c r="AE5" s="246"/>
      <c r="AF5" s="246"/>
      <c r="AG5" s="246"/>
      <c r="AH5" s="46"/>
      <c r="AI5" s="105"/>
    </row>
    <row r="6" spans="1:35" ht="15" customHeight="1">
      <c r="A6" s="46"/>
      <c r="B6" s="46"/>
      <c r="C6" s="246"/>
      <c r="D6" s="246"/>
      <c r="E6" s="246"/>
      <c r="F6" s="246"/>
      <c r="G6" s="246"/>
      <c r="H6" s="246"/>
      <c r="I6" s="246"/>
      <c r="J6" s="46"/>
      <c r="K6" s="46"/>
      <c r="L6" s="3"/>
      <c r="N6" s="231" t="s">
        <v>133</v>
      </c>
      <c r="O6" s="229"/>
      <c r="P6" s="229"/>
      <c r="Q6" s="229"/>
      <c r="R6" s="230">
        <f>R4</f>
        <v>500</v>
      </c>
      <c r="S6" s="229"/>
      <c r="T6" s="229"/>
      <c r="U6" s="229"/>
      <c r="V6" s="229"/>
      <c r="W6" s="123"/>
      <c r="Y6" s="104"/>
      <c r="Z6" s="46"/>
      <c r="AA6" s="246"/>
      <c r="AB6" s="246"/>
      <c r="AC6" s="246"/>
      <c r="AD6" s="246"/>
      <c r="AE6" s="246"/>
      <c r="AF6" s="246"/>
      <c r="AG6" s="246"/>
      <c r="AH6" s="46"/>
      <c r="AI6" s="105"/>
    </row>
    <row r="7" spans="1:35" ht="11.25" customHeigh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3"/>
      <c r="N7" s="231"/>
      <c r="O7" s="229"/>
      <c r="P7" s="229"/>
      <c r="Q7" s="229"/>
      <c r="R7" s="230"/>
      <c r="S7" s="229"/>
      <c r="T7" s="229"/>
      <c r="U7" s="229"/>
      <c r="V7" s="229"/>
      <c r="W7" s="123"/>
      <c r="Y7" s="104"/>
      <c r="Z7" s="46"/>
      <c r="AA7" s="46"/>
      <c r="AB7" s="46"/>
      <c r="AC7" s="46"/>
      <c r="AD7" s="46"/>
      <c r="AE7" s="46"/>
      <c r="AF7" s="46"/>
      <c r="AG7" s="46"/>
      <c r="AH7" s="46"/>
      <c r="AI7" s="105"/>
    </row>
    <row r="8" spans="1:35" ht="15" customHeight="1">
      <c r="A8" s="248"/>
      <c r="B8" s="248"/>
      <c r="C8" s="249"/>
      <c r="D8" s="249"/>
      <c r="E8" s="249"/>
      <c r="F8" s="249"/>
      <c r="G8" s="249"/>
      <c r="H8" s="249"/>
      <c r="I8" s="249"/>
      <c r="J8" s="249"/>
      <c r="K8" s="46"/>
      <c r="L8" s="3"/>
      <c r="N8" s="231" t="s">
        <v>134</v>
      </c>
      <c r="O8" s="229"/>
      <c r="P8" s="229"/>
      <c r="Q8" s="229"/>
      <c r="R8" s="230">
        <f t="shared" ref="R8" si="0">R6</f>
        <v>500</v>
      </c>
      <c r="S8" s="229"/>
      <c r="T8" s="229"/>
      <c r="U8" s="229"/>
      <c r="V8" s="229"/>
      <c r="W8" s="123"/>
      <c r="Y8" s="247" t="s">
        <v>120</v>
      </c>
      <c r="Z8" s="248"/>
      <c r="AA8" s="249"/>
      <c r="AB8" s="249"/>
      <c r="AC8" s="249"/>
      <c r="AD8" s="249"/>
      <c r="AE8" s="249"/>
      <c r="AF8" s="249"/>
      <c r="AG8" s="249"/>
      <c r="AH8" s="249"/>
      <c r="AI8" s="105"/>
    </row>
    <row r="9" spans="1:35" ht="11.25" customHeight="1">
      <c r="A9" s="248"/>
      <c r="B9" s="248"/>
      <c r="C9" s="249"/>
      <c r="D9" s="249"/>
      <c r="E9" s="249"/>
      <c r="F9" s="249"/>
      <c r="G9" s="249"/>
      <c r="H9" s="249"/>
      <c r="I9" s="249"/>
      <c r="J9" s="249"/>
      <c r="K9" s="46"/>
      <c r="L9" s="3"/>
      <c r="N9" s="231"/>
      <c r="O9" s="229"/>
      <c r="P9" s="229"/>
      <c r="Q9" s="229"/>
      <c r="R9" s="230"/>
      <c r="S9" s="229"/>
      <c r="T9" s="229"/>
      <c r="U9" s="229"/>
      <c r="V9" s="229"/>
      <c r="W9" s="123"/>
      <c r="Y9" s="247"/>
      <c r="Z9" s="248"/>
      <c r="AA9" s="249"/>
      <c r="AB9" s="249"/>
      <c r="AC9" s="249"/>
      <c r="AD9" s="249"/>
      <c r="AE9" s="249"/>
      <c r="AF9" s="249"/>
      <c r="AG9" s="249"/>
      <c r="AH9" s="249"/>
      <c r="AI9" s="105"/>
    </row>
    <row r="10" spans="1:35" ht="15.75" customHeight="1">
      <c r="A10" s="106"/>
      <c r="B10" s="106"/>
      <c r="C10" s="107"/>
      <c r="D10" s="107"/>
      <c r="E10" s="107"/>
      <c r="F10" s="107"/>
      <c r="G10" s="107"/>
      <c r="H10" s="107"/>
      <c r="I10" s="107"/>
      <c r="J10" s="107"/>
      <c r="K10" s="46"/>
      <c r="L10" s="3"/>
      <c r="N10" s="231" t="s">
        <v>135</v>
      </c>
      <c r="O10" s="229"/>
      <c r="P10" s="229"/>
      <c r="Q10" s="229"/>
      <c r="R10" s="230">
        <f t="shared" ref="R10" si="1">R8</f>
        <v>500</v>
      </c>
      <c r="S10" s="229"/>
      <c r="T10" s="229"/>
      <c r="U10" s="229"/>
      <c r="V10" s="229"/>
      <c r="W10" s="123"/>
      <c r="Y10" s="106"/>
      <c r="Z10" s="106"/>
      <c r="AA10" s="107"/>
      <c r="AB10" s="107"/>
      <c r="AC10" s="107"/>
      <c r="AD10" s="107"/>
      <c r="AE10" s="107"/>
      <c r="AF10" s="107"/>
      <c r="AG10" s="107"/>
      <c r="AH10" s="107"/>
      <c r="AI10" s="105"/>
    </row>
    <row r="11" spans="1:35" ht="12" customHeight="1">
      <c r="A11" s="235"/>
      <c r="B11" s="235"/>
      <c r="C11" s="108"/>
      <c r="D11" s="108"/>
      <c r="E11" s="108"/>
      <c r="F11" s="108"/>
      <c r="G11" s="108"/>
      <c r="H11" s="109"/>
      <c r="I11" s="233"/>
      <c r="J11" s="233"/>
      <c r="K11" s="233"/>
      <c r="L11" s="3"/>
      <c r="N11" s="231"/>
      <c r="O11" s="229"/>
      <c r="P11" s="229"/>
      <c r="Q11" s="229"/>
      <c r="R11" s="230"/>
      <c r="S11" s="229"/>
      <c r="T11" s="229"/>
      <c r="U11" s="229"/>
      <c r="V11" s="229"/>
      <c r="W11" s="123"/>
      <c r="Y11" s="235"/>
      <c r="Z11" s="235"/>
      <c r="AA11" s="108"/>
      <c r="AB11" s="108"/>
      <c r="AC11" s="108"/>
      <c r="AD11" s="108"/>
      <c r="AE11" s="108"/>
      <c r="AF11" s="109"/>
      <c r="AG11" s="233"/>
      <c r="AH11" s="233"/>
      <c r="AI11" s="234"/>
    </row>
    <row r="12" spans="1:35" ht="11.25" customHeight="1">
      <c r="A12" s="237"/>
      <c r="B12" s="237"/>
      <c r="C12" s="46"/>
      <c r="D12" s="110"/>
      <c r="E12" s="46"/>
      <c r="F12" s="46"/>
      <c r="G12" s="46"/>
      <c r="H12" s="46"/>
      <c r="I12" s="233"/>
      <c r="J12" s="233"/>
      <c r="K12" s="233"/>
      <c r="L12" s="3"/>
      <c r="N12" s="231" t="s">
        <v>136</v>
      </c>
      <c r="O12" s="229"/>
      <c r="P12" s="229"/>
      <c r="Q12" s="229"/>
      <c r="R12" s="230">
        <f t="shared" ref="R12" si="2">R10</f>
        <v>500</v>
      </c>
      <c r="S12" s="229"/>
      <c r="T12" s="229"/>
      <c r="U12" s="229"/>
      <c r="V12" s="229"/>
      <c r="W12" s="123"/>
      <c r="Y12" s="237"/>
      <c r="Z12" s="237"/>
      <c r="AA12" s="46"/>
      <c r="AB12" s="110" t="s">
        <v>121</v>
      </c>
      <c r="AC12" s="46"/>
      <c r="AD12" s="46"/>
      <c r="AE12" s="46"/>
      <c r="AF12" s="46"/>
      <c r="AG12" s="233"/>
      <c r="AH12" s="233"/>
      <c r="AI12" s="234"/>
    </row>
    <row r="13" spans="1:35" ht="11.25" customHeight="1">
      <c r="A13" s="237"/>
      <c r="B13" s="237"/>
      <c r="C13" s="46"/>
      <c r="D13" s="46"/>
      <c r="E13" s="46"/>
      <c r="F13" s="46"/>
      <c r="G13" s="46"/>
      <c r="H13" s="46"/>
      <c r="I13" s="233"/>
      <c r="J13" s="233"/>
      <c r="K13" s="233"/>
      <c r="L13" s="3"/>
      <c r="N13" s="231"/>
      <c r="O13" s="229"/>
      <c r="P13" s="229"/>
      <c r="Q13" s="229"/>
      <c r="R13" s="230"/>
      <c r="S13" s="229"/>
      <c r="T13" s="229"/>
      <c r="U13" s="229"/>
      <c r="V13" s="229"/>
      <c r="W13" s="123"/>
      <c r="Y13" s="237"/>
      <c r="Z13" s="237"/>
      <c r="AA13" s="46"/>
      <c r="AB13" s="46"/>
      <c r="AC13" s="46"/>
      <c r="AD13" s="46"/>
      <c r="AE13" s="46"/>
      <c r="AF13" s="46"/>
      <c r="AG13" s="233"/>
      <c r="AH13" s="233"/>
      <c r="AI13" s="234"/>
    </row>
    <row r="14" spans="1:35" ht="15.75" customHeight="1">
      <c r="A14" s="112"/>
      <c r="B14" s="112"/>
      <c r="C14" s="46"/>
      <c r="D14" s="46"/>
      <c r="E14" s="46"/>
      <c r="F14" s="46"/>
      <c r="G14" s="46"/>
      <c r="H14" s="46"/>
      <c r="I14" s="233"/>
      <c r="J14" s="233"/>
      <c r="K14" s="233"/>
      <c r="L14" s="3"/>
      <c r="N14" s="231" t="s">
        <v>137</v>
      </c>
      <c r="O14" s="229"/>
      <c r="P14" s="229"/>
      <c r="Q14" s="229"/>
      <c r="R14" s="230">
        <f t="shared" ref="R14" si="3">R12</f>
        <v>500</v>
      </c>
      <c r="S14" s="229"/>
      <c r="T14" s="229"/>
      <c r="U14" s="229"/>
      <c r="V14" s="229"/>
      <c r="W14" s="123"/>
      <c r="Y14" s="111" t="s">
        <v>122</v>
      </c>
      <c r="Z14" s="112"/>
      <c r="AA14" s="46"/>
      <c r="AB14" s="46"/>
      <c r="AC14" s="46"/>
      <c r="AD14" s="46"/>
      <c r="AE14" s="46"/>
      <c r="AF14" s="46"/>
      <c r="AG14" s="233"/>
      <c r="AH14" s="233"/>
      <c r="AI14" s="234"/>
    </row>
    <row r="15" spans="1:35" ht="11.25" customHeight="1">
      <c r="A15" s="112"/>
      <c r="B15" s="112"/>
      <c r="C15" s="46"/>
      <c r="D15" s="46"/>
      <c r="E15" s="46"/>
      <c r="F15" s="46"/>
      <c r="G15" s="46"/>
      <c r="H15" s="46"/>
      <c r="I15" s="233"/>
      <c r="J15" s="233"/>
      <c r="K15" s="233"/>
      <c r="L15" s="3"/>
      <c r="N15" s="231"/>
      <c r="O15" s="229"/>
      <c r="P15" s="229"/>
      <c r="Q15" s="229"/>
      <c r="R15" s="230"/>
      <c r="S15" s="229"/>
      <c r="T15" s="229"/>
      <c r="U15" s="229"/>
      <c r="V15" s="229"/>
      <c r="W15" s="123"/>
      <c r="Y15" s="111" t="s">
        <v>123</v>
      </c>
      <c r="Z15" s="112"/>
      <c r="AA15" s="46"/>
      <c r="AB15" s="46"/>
      <c r="AC15" s="46"/>
      <c r="AD15" s="46"/>
      <c r="AE15" s="46"/>
      <c r="AF15" s="46"/>
      <c r="AG15" s="233"/>
      <c r="AH15" s="233"/>
      <c r="AI15" s="234"/>
    </row>
    <row r="16" spans="1:35" ht="15.75" customHeight="1">
      <c r="A16" s="112"/>
      <c r="B16" s="112"/>
      <c r="C16" s="46"/>
      <c r="D16" s="46"/>
      <c r="E16" s="46"/>
      <c r="F16" s="46"/>
      <c r="G16" s="46"/>
      <c r="H16" s="46"/>
      <c r="I16" s="233"/>
      <c r="J16" s="233"/>
      <c r="K16" s="233"/>
      <c r="L16" s="3"/>
      <c r="N16" s="231" t="s">
        <v>138</v>
      </c>
      <c r="O16" s="229"/>
      <c r="P16" s="229"/>
      <c r="Q16" s="229"/>
      <c r="R16" s="230">
        <f t="shared" ref="R16" si="4">R14</f>
        <v>500</v>
      </c>
      <c r="S16" s="229"/>
      <c r="T16" s="229"/>
      <c r="U16" s="229"/>
      <c r="V16" s="229"/>
      <c r="W16" s="123"/>
      <c r="Y16" s="111" t="s">
        <v>124</v>
      </c>
      <c r="Z16" s="112"/>
      <c r="AA16" s="46"/>
      <c r="AB16" s="46"/>
      <c r="AC16" s="46"/>
      <c r="AD16" s="46"/>
      <c r="AE16" s="46"/>
      <c r="AF16" s="46"/>
      <c r="AG16" s="233"/>
      <c r="AH16" s="233"/>
      <c r="AI16" s="234"/>
    </row>
    <row r="17" spans="1:35" ht="9" customHeight="1">
      <c r="A17" s="112"/>
      <c r="B17" s="112"/>
      <c r="C17" s="46"/>
      <c r="D17" s="46"/>
      <c r="E17" s="46"/>
      <c r="F17" s="46"/>
      <c r="G17" s="46"/>
      <c r="H17" s="46"/>
      <c r="I17" s="233"/>
      <c r="J17" s="233"/>
      <c r="K17" s="233"/>
      <c r="L17" s="3"/>
      <c r="N17" s="231"/>
      <c r="O17" s="229"/>
      <c r="P17" s="229"/>
      <c r="Q17" s="229"/>
      <c r="R17" s="230"/>
      <c r="S17" s="229"/>
      <c r="T17" s="229"/>
      <c r="U17" s="229"/>
      <c r="V17" s="229"/>
      <c r="W17" s="123"/>
      <c r="Y17" s="111" t="s">
        <v>125</v>
      </c>
      <c r="Z17" s="112"/>
      <c r="AA17" s="46"/>
      <c r="AB17" s="46"/>
      <c r="AC17" s="46"/>
      <c r="AD17" s="46"/>
      <c r="AE17" s="46"/>
      <c r="AF17" s="46"/>
      <c r="AG17" s="233"/>
      <c r="AH17" s="233"/>
      <c r="AI17" s="234"/>
    </row>
    <row r="18" spans="1:35" ht="15.75" customHeight="1">
      <c r="A18" s="112"/>
      <c r="B18" s="112"/>
      <c r="C18" s="46"/>
      <c r="D18" s="46"/>
      <c r="E18" s="46"/>
      <c r="F18" s="46"/>
      <c r="G18" s="46"/>
      <c r="H18" s="46"/>
      <c r="I18" s="233"/>
      <c r="J18" s="233"/>
      <c r="K18" s="233"/>
      <c r="L18" s="3"/>
      <c r="N18" s="231" t="s">
        <v>139</v>
      </c>
      <c r="O18" s="229"/>
      <c r="P18" s="229"/>
      <c r="Q18" s="229"/>
      <c r="R18" s="230">
        <f t="shared" ref="R18" si="5">R16</f>
        <v>500</v>
      </c>
      <c r="S18" s="229"/>
      <c r="T18" s="229"/>
      <c r="U18" s="229"/>
      <c r="V18" s="229"/>
      <c r="W18" s="123"/>
      <c r="Y18" s="111" t="s">
        <v>126</v>
      </c>
      <c r="Z18" s="112"/>
      <c r="AA18" s="46"/>
      <c r="AB18" s="46"/>
      <c r="AC18" s="46"/>
      <c r="AD18" s="46"/>
      <c r="AE18" s="46"/>
      <c r="AF18" s="46"/>
      <c r="AG18" s="233"/>
      <c r="AH18" s="233"/>
      <c r="AI18" s="234"/>
    </row>
    <row r="19" spans="1:35" ht="15.75" customHeight="1">
      <c r="A19" s="232"/>
      <c r="B19" s="232"/>
      <c r="C19" s="46"/>
      <c r="D19" s="46"/>
      <c r="E19" s="46"/>
      <c r="F19" s="46"/>
      <c r="G19" s="46"/>
      <c r="H19" s="46"/>
      <c r="I19" s="233"/>
      <c r="J19" s="233"/>
      <c r="K19" s="233"/>
      <c r="L19" s="3"/>
      <c r="N19" s="231"/>
      <c r="O19" s="229"/>
      <c r="P19" s="229"/>
      <c r="Q19" s="229"/>
      <c r="R19" s="230"/>
      <c r="S19" s="229"/>
      <c r="T19" s="229"/>
      <c r="U19" s="229"/>
      <c r="V19" s="229"/>
      <c r="W19" s="123"/>
      <c r="Y19" s="232"/>
      <c r="Z19" s="232"/>
      <c r="AA19" s="46"/>
      <c r="AB19" s="46"/>
      <c r="AC19" s="46"/>
      <c r="AD19" s="46"/>
      <c r="AE19" s="46"/>
      <c r="AF19" s="46"/>
      <c r="AG19" s="233"/>
      <c r="AH19" s="233"/>
      <c r="AI19" s="234"/>
    </row>
    <row r="20" spans="1:35" ht="15.75" customHeight="1">
      <c r="A20" s="232"/>
      <c r="B20" s="232"/>
      <c r="C20" s="46"/>
      <c r="D20" s="46"/>
      <c r="E20" s="46"/>
      <c r="F20" s="46"/>
      <c r="G20" s="46"/>
      <c r="H20" s="46"/>
      <c r="I20" s="233"/>
      <c r="J20" s="233"/>
      <c r="K20" s="233"/>
      <c r="L20" s="3"/>
      <c r="N20" s="231" t="s">
        <v>140</v>
      </c>
      <c r="O20" s="229"/>
      <c r="P20" s="229"/>
      <c r="Q20" s="229"/>
      <c r="R20" s="230">
        <f t="shared" ref="R20" si="6">R18</f>
        <v>500</v>
      </c>
      <c r="S20" s="229"/>
      <c r="T20" s="229"/>
      <c r="U20" s="229"/>
      <c r="V20" s="229"/>
      <c r="W20" s="123"/>
      <c r="Y20" s="232"/>
      <c r="Z20" s="232"/>
      <c r="AA20" s="46"/>
      <c r="AB20" s="46"/>
      <c r="AC20" s="46"/>
      <c r="AD20" s="46"/>
      <c r="AE20" s="46"/>
      <c r="AF20" s="46"/>
      <c r="AG20" s="233"/>
      <c r="AH20" s="233"/>
      <c r="AI20" s="234"/>
    </row>
    <row r="21" spans="1:35" ht="15.75" customHeight="1">
      <c r="A21" s="232"/>
      <c r="B21" s="232"/>
      <c r="C21" s="46"/>
      <c r="D21" s="46"/>
      <c r="E21" s="46"/>
      <c r="F21" s="46"/>
      <c r="G21" s="46"/>
      <c r="H21" s="46"/>
      <c r="I21" s="233"/>
      <c r="J21" s="233"/>
      <c r="K21" s="233"/>
      <c r="L21" s="3"/>
      <c r="N21" s="231"/>
      <c r="O21" s="229"/>
      <c r="P21" s="229"/>
      <c r="Q21" s="229"/>
      <c r="R21" s="230"/>
      <c r="S21" s="229"/>
      <c r="T21" s="229"/>
      <c r="U21" s="229"/>
      <c r="V21" s="229"/>
      <c r="W21" s="123"/>
      <c r="Y21" s="232"/>
      <c r="Z21" s="232"/>
      <c r="AA21" s="46"/>
      <c r="AB21" s="46"/>
      <c r="AC21" s="46"/>
      <c r="AD21" s="46"/>
      <c r="AE21" s="46"/>
      <c r="AF21" s="46"/>
      <c r="AG21" s="233"/>
      <c r="AH21" s="233"/>
      <c r="AI21" s="234"/>
    </row>
    <row r="22" spans="1:35" ht="16.5" customHeight="1">
      <c r="A22" s="232"/>
      <c r="B22" s="232"/>
      <c r="C22" s="113"/>
      <c r="D22" s="113"/>
      <c r="E22" s="113"/>
      <c r="F22" s="46"/>
      <c r="G22" s="46"/>
      <c r="H22" s="46"/>
      <c r="I22" s="233"/>
      <c r="J22" s="233"/>
      <c r="K22" s="233"/>
      <c r="L22" s="3"/>
      <c r="N22" s="231" t="s">
        <v>141</v>
      </c>
      <c r="O22" s="229"/>
      <c r="P22" s="229"/>
      <c r="Q22" s="229"/>
      <c r="R22" s="230">
        <f t="shared" ref="R22" si="7">R20</f>
        <v>500</v>
      </c>
      <c r="S22" s="229"/>
      <c r="T22" s="229"/>
      <c r="U22" s="229"/>
      <c r="V22" s="229"/>
      <c r="W22" s="123"/>
      <c r="Y22" s="232"/>
      <c r="Z22" s="232"/>
      <c r="AA22" s="113" t="s">
        <v>127</v>
      </c>
      <c r="AB22" s="113"/>
      <c r="AC22" s="113"/>
      <c r="AD22" s="46"/>
      <c r="AE22" s="46"/>
      <c r="AF22" s="46"/>
      <c r="AG22" s="233"/>
      <c r="AH22" s="233"/>
      <c r="AI22" s="234"/>
    </row>
    <row r="23" spans="1:35" ht="9" customHeight="1">
      <c r="A23" s="232"/>
      <c r="B23" s="232"/>
      <c r="C23" s="113"/>
      <c r="D23" s="113"/>
      <c r="E23" s="113"/>
      <c r="F23" s="46"/>
      <c r="G23" s="46"/>
      <c r="H23" s="46"/>
      <c r="I23" s="233"/>
      <c r="J23" s="233"/>
      <c r="K23" s="233"/>
      <c r="L23" s="3"/>
      <c r="N23" s="231"/>
      <c r="O23" s="229"/>
      <c r="P23" s="229"/>
      <c r="Q23" s="229"/>
      <c r="R23" s="230"/>
      <c r="S23" s="229"/>
      <c r="T23" s="229"/>
      <c r="U23" s="229"/>
      <c r="V23" s="229"/>
      <c r="W23" s="123"/>
      <c r="Y23" s="232"/>
      <c r="Z23" s="232"/>
      <c r="AA23" s="113"/>
      <c r="AB23" s="113"/>
      <c r="AC23" s="113"/>
      <c r="AD23" s="46"/>
      <c r="AE23" s="46"/>
      <c r="AF23" s="46"/>
      <c r="AG23" s="233"/>
      <c r="AH23" s="233"/>
      <c r="AI23" s="234"/>
    </row>
    <row r="24" spans="1:35" ht="16.5" customHeight="1">
      <c r="A24" s="235"/>
      <c r="B24" s="235"/>
      <c r="C24" s="113"/>
      <c r="D24" s="113"/>
      <c r="E24" s="113"/>
      <c r="F24" s="46"/>
      <c r="G24" s="46"/>
      <c r="H24" s="46"/>
      <c r="I24" s="46"/>
      <c r="J24" s="46"/>
      <c r="K24" s="46"/>
      <c r="L24" s="3"/>
      <c r="N24" s="231" t="s">
        <v>142</v>
      </c>
      <c r="O24" s="229"/>
      <c r="P24" s="229"/>
      <c r="Q24" s="229"/>
      <c r="R24" s="230">
        <f t="shared" ref="R24" si="8">R22</f>
        <v>500</v>
      </c>
      <c r="S24" s="229"/>
      <c r="T24" s="229"/>
      <c r="U24" s="229"/>
      <c r="V24" s="229"/>
      <c r="W24" s="123"/>
      <c r="Y24" s="235"/>
      <c r="Z24" s="235"/>
      <c r="AA24" s="113"/>
      <c r="AB24" s="113"/>
      <c r="AC24" s="113"/>
      <c r="AD24" s="46"/>
      <c r="AE24" s="46"/>
      <c r="AF24" s="46"/>
      <c r="AG24" s="46"/>
      <c r="AH24" s="46"/>
      <c r="AI24" s="105"/>
    </row>
    <row r="25" spans="1:35" ht="12.75" customHeight="1">
      <c r="A25" s="235"/>
      <c r="B25" s="235"/>
      <c r="C25" s="113"/>
      <c r="D25" s="113"/>
      <c r="E25" s="113"/>
      <c r="F25" s="46"/>
      <c r="G25" s="46"/>
      <c r="H25" s="46"/>
      <c r="I25" s="46"/>
      <c r="J25" s="46"/>
      <c r="K25" s="46"/>
      <c r="L25" s="3"/>
      <c r="N25" s="231"/>
      <c r="O25" s="229"/>
      <c r="P25" s="229"/>
      <c r="Q25" s="229"/>
      <c r="R25" s="230"/>
      <c r="S25" s="229"/>
      <c r="T25" s="229"/>
      <c r="U25" s="229"/>
      <c r="V25" s="229"/>
      <c r="W25" s="123"/>
      <c r="Y25" s="236"/>
      <c r="Z25" s="235"/>
      <c r="AA25" s="113"/>
      <c r="AB25" s="113" t="s">
        <v>128</v>
      </c>
      <c r="AC25" s="113"/>
      <c r="AD25" s="46"/>
      <c r="AE25" s="46"/>
      <c r="AF25" s="46"/>
      <c r="AG25" s="46"/>
      <c r="AH25" s="46"/>
      <c r="AI25" s="105"/>
    </row>
    <row r="26" spans="1:35" ht="15.75" customHeight="1" thickBot="1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3"/>
      <c r="N26" s="231" t="s">
        <v>143</v>
      </c>
      <c r="O26" s="229"/>
      <c r="P26" s="229"/>
      <c r="Q26" s="229"/>
      <c r="R26" s="230">
        <f t="shared" ref="R26" si="9">R24</f>
        <v>500</v>
      </c>
      <c r="S26" s="229"/>
      <c r="T26" s="229"/>
      <c r="U26" s="229"/>
      <c r="V26" s="229"/>
      <c r="W26" s="123"/>
      <c r="Y26" s="114"/>
      <c r="Z26" s="115"/>
      <c r="AA26" s="115"/>
      <c r="AB26" s="115"/>
      <c r="AC26" s="115"/>
      <c r="AD26" s="115"/>
      <c r="AE26" s="115"/>
      <c r="AF26" s="115"/>
      <c r="AG26" s="115"/>
      <c r="AH26" s="115"/>
      <c r="AI26" s="116"/>
    </row>
    <row r="27" spans="1:35" ht="6" customHeight="1" thickTop="1" thickBot="1">
      <c r="K27" s="46"/>
      <c r="N27" s="231"/>
      <c r="O27" s="229"/>
      <c r="P27" s="229"/>
      <c r="Q27" s="229"/>
      <c r="R27" s="230"/>
      <c r="S27" s="229"/>
      <c r="T27" s="229"/>
      <c r="U27" s="229"/>
      <c r="V27" s="229"/>
      <c r="W27" s="123"/>
    </row>
    <row r="28" spans="1:35">
      <c r="N28" s="117"/>
      <c r="Y28" s="223">
        <v>4</v>
      </c>
    </row>
    <row r="29" spans="1:35" ht="15.75" thickBot="1">
      <c r="N29" s="117"/>
      <c r="Y29" s="224"/>
    </row>
    <row r="30" spans="1:35">
      <c r="N30" s="117"/>
    </row>
  </sheetData>
  <mergeCells count="169">
    <mergeCell ref="I11:K11"/>
    <mergeCell ref="A12:B12"/>
    <mergeCell ref="I12:K12"/>
    <mergeCell ref="A13:B13"/>
    <mergeCell ref="I13:K13"/>
    <mergeCell ref="B1:K2"/>
    <mergeCell ref="C3:K3"/>
    <mergeCell ref="B4:K4"/>
    <mergeCell ref="C5:I6"/>
    <mergeCell ref="A8:B9"/>
    <mergeCell ref="C8:J9"/>
    <mergeCell ref="A23:B23"/>
    <mergeCell ref="I23:K23"/>
    <mergeCell ref="A24:B24"/>
    <mergeCell ref="A25:B25"/>
    <mergeCell ref="Z1:AI2"/>
    <mergeCell ref="AA3:AI3"/>
    <mergeCell ref="Z4:AI4"/>
    <mergeCell ref="AA5:AG6"/>
    <mergeCell ref="Y8:Z9"/>
    <mergeCell ref="AA8:AH9"/>
    <mergeCell ref="A20:B20"/>
    <mergeCell ref="I20:K20"/>
    <mergeCell ref="A21:B21"/>
    <mergeCell ref="I21:K21"/>
    <mergeCell ref="A22:B22"/>
    <mergeCell ref="I22:K22"/>
    <mergeCell ref="I14:K14"/>
    <mergeCell ref="I15:K15"/>
    <mergeCell ref="I16:K16"/>
    <mergeCell ref="I17:K17"/>
    <mergeCell ref="I18:K18"/>
    <mergeCell ref="A19:B19"/>
    <mergeCell ref="I19:K19"/>
    <mergeCell ref="A11:B11"/>
    <mergeCell ref="AG14:AI14"/>
    <mergeCell ref="AG15:AI15"/>
    <mergeCell ref="AG16:AI16"/>
    <mergeCell ref="AG17:AI17"/>
    <mergeCell ref="AG18:AI18"/>
    <mergeCell ref="Y19:Z19"/>
    <mergeCell ref="AG19:AI19"/>
    <mergeCell ref="Y11:Z11"/>
    <mergeCell ref="AG11:AI11"/>
    <mergeCell ref="Y12:Z12"/>
    <mergeCell ref="AG12:AI12"/>
    <mergeCell ref="Y13:Z13"/>
    <mergeCell ref="AG13:AI13"/>
    <mergeCell ref="Y23:Z23"/>
    <mergeCell ref="AG23:AI23"/>
    <mergeCell ref="Y24:Z24"/>
    <mergeCell ref="Y25:Z25"/>
    <mergeCell ref="Y20:Z20"/>
    <mergeCell ref="AG20:AI20"/>
    <mergeCell ref="Y21:Z21"/>
    <mergeCell ref="AG21:AI21"/>
    <mergeCell ref="Y22:Z22"/>
    <mergeCell ref="AG22:AI22"/>
    <mergeCell ref="N16:N17"/>
    <mergeCell ref="N18:N19"/>
    <mergeCell ref="N20:N21"/>
    <mergeCell ref="N22:N23"/>
    <mergeCell ref="N24:N25"/>
    <mergeCell ref="N26:N27"/>
    <mergeCell ref="N4:N5"/>
    <mergeCell ref="N6:N7"/>
    <mergeCell ref="N8:N9"/>
    <mergeCell ref="N10:N11"/>
    <mergeCell ref="N12:N13"/>
    <mergeCell ref="N14:N15"/>
    <mergeCell ref="U4:U5"/>
    <mergeCell ref="V4:V5"/>
    <mergeCell ref="O6:O7"/>
    <mergeCell ref="P6:P7"/>
    <mergeCell ref="Q6:Q7"/>
    <mergeCell ref="R6:R7"/>
    <mergeCell ref="S6:S7"/>
    <mergeCell ref="T6:T7"/>
    <mergeCell ref="U6:U7"/>
    <mergeCell ref="V6:V7"/>
    <mergeCell ref="O4:O5"/>
    <mergeCell ref="P4:P5"/>
    <mergeCell ref="Q4:Q5"/>
    <mergeCell ref="R4:R5"/>
    <mergeCell ref="S4:S5"/>
    <mergeCell ref="T4:T5"/>
    <mergeCell ref="U8:U9"/>
    <mergeCell ref="V8:V9"/>
    <mergeCell ref="O10:O11"/>
    <mergeCell ref="P10:P11"/>
    <mergeCell ref="Q10:Q11"/>
    <mergeCell ref="R10:R11"/>
    <mergeCell ref="S10:S11"/>
    <mergeCell ref="T10:T11"/>
    <mergeCell ref="U10:U11"/>
    <mergeCell ref="V10:V11"/>
    <mergeCell ref="O8:O9"/>
    <mergeCell ref="P8:P9"/>
    <mergeCell ref="Q8:Q9"/>
    <mergeCell ref="R8:R9"/>
    <mergeCell ref="S8:S9"/>
    <mergeCell ref="T8:T9"/>
    <mergeCell ref="U12:U13"/>
    <mergeCell ref="V12:V13"/>
    <mergeCell ref="O14:O15"/>
    <mergeCell ref="P14:P15"/>
    <mergeCell ref="Q14:Q15"/>
    <mergeCell ref="R14:R15"/>
    <mergeCell ref="S14:S15"/>
    <mergeCell ref="T14:T15"/>
    <mergeCell ref="U14:U15"/>
    <mergeCell ref="V14:V15"/>
    <mergeCell ref="O12:O13"/>
    <mergeCell ref="P12:P13"/>
    <mergeCell ref="Q12:Q13"/>
    <mergeCell ref="R12:R13"/>
    <mergeCell ref="S12:S13"/>
    <mergeCell ref="T12:T13"/>
    <mergeCell ref="U16:U17"/>
    <mergeCell ref="V16:V17"/>
    <mergeCell ref="O18:O19"/>
    <mergeCell ref="P18:P19"/>
    <mergeCell ref="Q18:Q19"/>
    <mergeCell ref="R18:R19"/>
    <mergeCell ref="S18:S19"/>
    <mergeCell ref="T18:T19"/>
    <mergeCell ref="U18:U19"/>
    <mergeCell ref="V18:V19"/>
    <mergeCell ref="O16:O17"/>
    <mergeCell ref="P16:P17"/>
    <mergeCell ref="Q16:Q17"/>
    <mergeCell ref="R16:R17"/>
    <mergeCell ref="S16:S17"/>
    <mergeCell ref="T16:T17"/>
    <mergeCell ref="R22:R23"/>
    <mergeCell ref="S22:S23"/>
    <mergeCell ref="T22:T23"/>
    <mergeCell ref="U22:U23"/>
    <mergeCell ref="V22:V23"/>
    <mergeCell ref="O20:O21"/>
    <mergeCell ref="P20:P21"/>
    <mergeCell ref="Q20:Q21"/>
    <mergeCell ref="R20:R21"/>
    <mergeCell ref="S20:S21"/>
    <mergeCell ref="T20:T21"/>
    <mergeCell ref="Y28:Y29"/>
    <mergeCell ref="N1:O2"/>
    <mergeCell ref="P1:V2"/>
    <mergeCell ref="U24:U25"/>
    <mergeCell ref="V24:V25"/>
    <mergeCell ref="O26:O27"/>
    <mergeCell ref="P26:P27"/>
    <mergeCell ref="Q26:Q27"/>
    <mergeCell ref="R26:R27"/>
    <mergeCell ref="S26:S27"/>
    <mergeCell ref="T26:T27"/>
    <mergeCell ref="U26:U27"/>
    <mergeCell ref="V26:V27"/>
    <mergeCell ref="O24:O25"/>
    <mergeCell ref="P24:P25"/>
    <mergeCell ref="Q24:Q25"/>
    <mergeCell ref="R24:R25"/>
    <mergeCell ref="S24:S25"/>
    <mergeCell ref="T24:T25"/>
    <mergeCell ref="U20:U21"/>
    <mergeCell ref="V20:V21"/>
    <mergeCell ref="O22:O23"/>
    <mergeCell ref="P22:P23"/>
    <mergeCell ref="Q22:Q23"/>
  </mergeCells>
  <pageMargins left="0" right="0" top="0.5" bottom="0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G24"/>
  <sheetViews>
    <sheetView workbookViewId="0">
      <selection activeCell="N16" sqref="N16"/>
    </sheetView>
  </sheetViews>
  <sheetFormatPr defaultRowHeight="15"/>
  <cols>
    <col min="1" max="1" width="7.140625" customWidth="1"/>
    <col min="3" max="3" width="18" customWidth="1"/>
    <col min="4" max="4" width="14.85546875" customWidth="1"/>
    <col min="5" max="5" width="17.7109375" customWidth="1"/>
    <col min="6" max="6" width="14.5703125" customWidth="1"/>
    <col min="7" max="7" width="18.7109375" customWidth="1"/>
  </cols>
  <sheetData>
    <row r="1" spans="1:7" ht="18">
      <c r="A1" s="124" t="s">
        <v>147</v>
      </c>
      <c r="B1" s="125" t="s">
        <v>148</v>
      </c>
      <c r="C1" s="125" t="s">
        <v>7</v>
      </c>
      <c r="D1" s="125" t="s">
        <v>11</v>
      </c>
      <c r="E1" s="125" t="s">
        <v>149</v>
      </c>
      <c r="F1" s="125" t="s">
        <v>89</v>
      </c>
      <c r="G1" s="125" t="s">
        <v>12</v>
      </c>
    </row>
    <row r="2" spans="1:7" ht="24.95" customHeight="1">
      <c r="A2" s="125">
        <v>1</v>
      </c>
      <c r="B2" s="162" t="s">
        <v>150</v>
      </c>
      <c r="C2" s="165">
        <f>'2020'!CL3</f>
        <v>13000</v>
      </c>
      <c r="D2" s="165">
        <f>'2020'!CN3</f>
        <v>5000</v>
      </c>
      <c r="E2" s="165">
        <f>'2020'!CQ3</f>
        <v>112235</v>
      </c>
      <c r="F2" s="165">
        <f>'2020'!CS3</f>
        <v>2044</v>
      </c>
      <c r="G2" s="165">
        <f>E2+F2</f>
        <v>114279</v>
      </c>
    </row>
    <row r="3" spans="1:7" ht="24.95" customHeight="1">
      <c r="A3" s="125">
        <v>2</v>
      </c>
      <c r="B3" s="162" t="s">
        <v>151</v>
      </c>
      <c r="C3" s="165">
        <f>'2020'!CL4</f>
        <v>0</v>
      </c>
      <c r="D3" s="165">
        <f>'2020'!CN4</f>
        <v>5000</v>
      </c>
      <c r="E3" s="165">
        <f>'2020'!CQ4</f>
        <v>71134</v>
      </c>
      <c r="F3" s="165">
        <f>'2020'!CS4</f>
        <v>1322</v>
      </c>
      <c r="G3" s="165">
        <f t="shared" ref="G3:G23" si="0">E3+F3</f>
        <v>72456</v>
      </c>
    </row>
    <row r="4" spans="1:7" ht="24.95" customHeight="1">
      <c r="A4" s="125">
        <v>3</v>
      </c>
      <c r="B4" s="162" t="s">
        <v>152</v>
      </c>
      <c r="C4" s="165">
        <f>'2020'!CL5</f>
        <v>91500</v>
      </c>
      <c r="D4" s="165">
        <f>'2020'!CN5</f>
        <v>5000</v>
      </c>
      <c r="E4" s="165">
        <f>'2020'!CQ5</f>
        <v>101030</v>
      </c>
      <c r="F4" s="165">
        <f>'2020'!CS5</f>
        <v>1850</v>
      </c>
      <c r="G4" s="165">
        <f t="shared" si="0"/>
        <v>102880</v>
      </c>
    </row>
    <row r="5" spans="1:7" ht="24.95" customHeight="1">
      <c r="A5" s="125">
        <v>4</v>
      </c>
      <c r="B5" s="162" t="s">
        <v>153</v>
      </c>
      <c r="C5" s="165">
        <f>'2020'!CL6</f>
        <v>44360</v>
      </c>
      <c r="D5" s="165">
        <f>'2020'!CN6</f>
        <v>5000</v>
      </c>
      <c r="E5" s="165">
        <f>'2020'!CQ6</f>
        <v>72170</v>
      </c>
      <c r="F5" s="165">
        <f>'2020'!CS6</f>
        <v>1178</v>
      </c>
      <c r="G5" s="165">
        <f t="shared" si="0"/>
        <v>73348</v>
      </c>
    </row>
    <row r="6" spans="1:7" ht="24.95" customHeight="1">
      <c r="A6" s="125">
        <v>5</v>
      </c>
      <c r="B6" s="162" t="s">
        <v>154</v>
      </c>
      <c r="C6" s="165">
        <f>'2020'!CL7</f>
        <v>128185</v>
      </c>
      <c r="D6" s="165">
        <f>'2020'!CN7</f>
        <v>5000</v>
      </c>
      <c r="E6" s="165">
        <f>'2020'!CQ7</f>
        <v>36562</v>
      </c>
      <c r="F6" s="165">
        <f>'2020'!CS7</f>
        <v>561</v>
      </c>
      <c r="G6" s="165">
        <f t="shared" si="0"/>
        <v>37123</v>
      </c>
    </row>
    <row r="7" spans="1:7" ht="24.95" customHeight="1">
      <c r="A7" s="125">
        <v>6</v>
      </c>
      <c r="B7" s="162" t="s">
        <v>155</v>
      </c>
      <c r="C7" s="165">
        <f>'2020'!CL8</f>
        <v>0</v>
      </c>
      <c r="D7" s="165">
        <f>'2020'!CN8</f>
        <v>0</v>
      </c>
      <c r="E7" s="165">
        <f>'2020'!CQ8</f>
        <v>87532</v>
      </c>
      <c r="F7" s="165">
        <f>'2020'!CS8</f>
        <v>1591</v>
      </c>
      <c r="G7" s="165">
        <f t="shared" si="0"/>
        <v>89123</v>
      </c>
    </row>
    <row r="8" spans="1:7" ht="24.95" customHeight="1">
      <c r="A8" s="125">
        <v>7</v>
      </c>
      <c r="B8" s="162" t="s">
        <v>188</v>
      </c>
      <c r="C8" s="165">
        <f>'2020'!CL9</f>
        <v>178744</v>
      </c>
      <c r="D8" s="165">
        <f>'2020'!CN9</f>
        <v>0</v>
      </c>
      <c r="E8" s="165">
        <f>'2020'!CQ9</f>
        <v>87669</v>
      </c>
      <c r="F8" s="165">
        <f>'2020'!CS9</f>
        <v>1446</v>
      </c>
      <c r="G8" s="165">
        <f t="shared" si="0"/>
        <v>89115</v>
      </c>
    </row>
    <row r="9" spans="1:7" ht="24.95" customHeight="1">
      <c r="A9" s="125">
        <v>8</v>
      </c>
      <c r="B9" s="162" t="s">
        <v>156</v>
      </c>
      <c r="C9" s="165">
        <f>'2020'!CL10</f>
        <v>198186</v>
      </c>
      <c r="D9" s="165">
        <f>'2020'!CN10</f>
        <v>0</v>
      </c>
      <c r="E9" s="165">
        <f>'2020'!CQ10</f>
        <v>97004</v>
      </c>
      <c r="F9" s="165">
        <f>'2020'!CS10</f>
        <v>1608</v>
      </c>
      <c r="G9" s="165">
        <f t="shared" si="0"/>
        <v>98612</v>
      </c>
    </row>
    <row r="10" spans="1:7" ht="24.95" customHeight="1">
      <c r="A10" s="125">
        <v>9</v>
      </c>
      <c r="B10" s="162" t="s">
        <v>157</v>
      </c>
      <c r="C10" s="165">
        <f>'2020'!CL11</f>
        <v>0</v>
      </c>
      <c r="D10" s="165">
        <f>'2020'!CN11</f>
        <v>0</v>
      </c>
      <c r="E10" s="165">
        <f>'2020'!CQ11</f>
        <v>313003</v>
      </c>
      <c r="F10" s="165">
        <f>'2020'!CS11</f>
        <v>5571</v>
      </c>
      <c r="G10" s="165">
        <f t="shared" si="0"/>
        <v>318574</v>
      </c>
    </row>
    <row r="11" spans="1:7" ht="24.95" customHeight="1">
      <c r="A11" s="125">
        <v>10</v>
      </c>
      <c r="B11" s="162" t="s">
        <v>158</v>
      </c>
      <c r="C11" s="165">
        <f>'2020'!CL12</f>
        <v>98341</v>
      </c>
      <c r="D11" s="165">
        <f>'2020'!CN12</f>
        <v>5000</v>
      </c>
      <c r="E11" s="165">
        <f>'2020'!CQ12</f>
        <v>73419</v>
      </c>
      <c r="F11" s="165">
        <f>'2020'!CS12</f>
        <v>1200</v>
      </c>
      <c r="G11" s="165">
        <f t="shared" si="0"/>
        <v>74619</v>
      </c>
    </row>
    <row r="12" spans="1:7" ht="24.95" customHeight="1">
      <c r="A12" s="125">
        <v>11</v>
      </c>
      <c r="B12" s="162" t="s">
        <v>159</v>
      </c>
      <c r="C12" s="165">
        <f>'2020'!CL13</f>
        <v>60843</v>
      </c>
      <c r="D12" s="165">
        <f>'2020'!CN13</f>
        <v>0</v>
      </c>
      <c r="E12" s="165">
        <f>'2020'!CQ13</f>
        <v>75624</v>
      </c>
      <c r="F12" s="165">
        <f>'2020'!CS13</f>
        <v>1238</v>
      </c>
      <c r="G12" s="165">
        <f t="shared" si="0"/>
        <v>76862</v>
      </c>
    </row>
    <row r="13" spans="1:7" ht="24.95" customHeight="1">
      <c r="A13" s="125">
        <v>12</v>
      </c>
      <c r="B13" s="162" t="s">
        <v>160</v>
      </c>
      <c r="C13" s="165">
        <f>'2020'!CL14</f>
        <v>85302</v>
      </c>
      <c r="D13" s="165">
        <f>'2020'!CN14</f>
        <v>5000</v>
      </c>
      <c r="E13" s="165">
        <f>'2020'!CQ14</f>
        <v>69905</v>
      </c>
      <c r="F13" s="165">
        <f>'2020'!CS14</f>
        <v>1139</v>
      </c>
      <c r="G13" s="165">
        <f t="shared" si="0"/>
        <v>71044</v>
      </c>
    </row>
    <row r="14" spans="1:7" ht="24.95" customHeight="1">
      <c r="A14" s="125">
        <v>13</v>
      </c>
      <c r="B14" s="162" t="s">
        <v>161</v>
      </c>
      <c r="C14" s="165">
        <f>'2020'!CL15</f>
        <v>0</v>
      </c>
      <c r="D14" s="165">
        <f>'2020'!CN15</f>
        <v>5000</v>
      </c>
      <c r="E14" s="165">
        <f>'2020'!CQ15</f>
        <v>67863</v>
      </c>
      <c r="F14" s="165">
        <f>'2020'!CS15</f>
        <v>1177</v>
      </c>
      <c r="G14" s="165">
        <f t="shared" si="0"/>
        <v>69040</v>
      </c>
    </row>
    <row r="15" spans="1:7" ht="24.95" customHeight="1">
      <c r="A15" s="125">
        <v>14</v>
      </c>
      <c r="B15" s="162" t="s">
        <v>189</v>
      </c>
      <c r="C15" s="165">
        <f>'2020'!CL16</f>
        <v>0</v>
      </c>
      <c r="D15" s="165">
        <f>'2020'!CN16</f>
        <v>0</v>
      </c>
      <c r="E15" s="165">
        <f>'2020'!CQ16</f>
        <v>58473</v>
      </c>
      <c r="F15" s="165">
        <f>'2020'!CS16</f>
        <v>1213</v>
      </c>
      <c r="G15" s="165">
        <f t="shared" si="0"/>
        <v>59686</v>
      </c>
    </row>
    <row r="16" spans="1:7" ht="24.95" customHeight="1">
      <c r="A16" s="125">
        <v>15</v>
      </c>
      <c r="B16" s="162" t="s">
        <v>162</v>
      </c>
      <c r="C16" s="165">
        <f>'2020'!CL17</f>
        <v>117023</v>
      </c>
      <c r="D16" s="165">
        <f>'2020'!CN17</f>
        <v>0</v>
      </c>
      <c r="E16" s="165">
        <f>'2020'!CQ17</f>
        <v>65197</v>
      </c>
      <c r="F16" s="165">
        <f>'2020'!CS17</f>
        <v>1057</v>
      </c>
      <c r="G16" s="165">
        <f t="shared" si="0"/>
        <v>66254</v>
      </c>
    </row>
    <row r="17" spans="1:7" ht="24.95" customHeight="1">
      <c r="A17" s="125">
        <v>16</v>
      </c>
      <c r="B17" s="162" t="s">
        <v>163</v>
      </c>
      <c r="C17" s="165">
        <f>'2020'!CL18</f>
        <v>17</v>
      </c>
      <c r="D17" s="165">
        <f>'2020'!CN18</f>
        <v>5000</v>
      </c>
      <c r="E17" s="165">
        <f>'2020'!CQ18</f>
        <v>52227</v>
      </c>
      <c r="F17" s="165">
        <f>'2020'!CS18</f>
        <v>833</v>
      </c>
      <c r="G17" s="165">
        <f t="shared" si="0"/>
        <v>53060</v>
      </c>
    </row>
    <row r="18" spans="1:7" ht="24.95" customHeight="1">
      <c r="A18" s="125">
        <v>17</v>
      </c>
      <c r="B18" s="162" t="s">
        <v>190</v>
      </c>
      <c r="C18" s="165">
        <f>'2020'!CL19</f>
        <v>87864</v>
      </c>
      <c r="D18" s="165">
        <f>'2020'!CN19</f>
        <v>5000</v>
      </c>
      <c r="E18" s="165">
        <f>'2020'!CQ19</f>
        <v>22325</v>
      </c>
      <c r="F18" s="165">
        <f>'2020'!CS19</f>
        <v>315</v>
      </c>
      <c r="G18" s="165">
        <f t="shared" si="0"/>
        <v>22640</v>
      </c>
    </row>
    <row r="19" spans="1:7" ht="24.95" customHeight="1">
      <c r="A19" s="125">
        <v>18</v>
      </c>
      <c r="B19" s="162" t="s">
        <v>164</v>
      </c>
      <c r="C19" s="165">
        <f>'2020'!CL20</f>
        <v>63185</v>
      </c>
      <c r="D19" s="165">
        <f>'2020'!CN20</f>
        <v>0</v>
      </c>
      <c r="E19" s="165">
        <f>'2020'!CQ20</f>
        <v>22325</v>
      </c>
      <c r="F19" s="165">
        <f>'2020'!CS20</f>
        <v>315</v>
      </c>
      <c r="G19" s="165">
        <f t="shared" si="0"/>
        <v>22640</v>
      </c>
    </row>
    <row r="20" spans="1:7" ht="24.95" customHeight="1">
      <c r="A20" s="125">
        <v>19</v>
      </c>
      <c r="B20" s="162" t="s">
        <v>191</v>
      </c>
      <c r="C20" s="165">
        <f>'2020'!CL21</f>
        <v>0</v>
      </c>
      <c r="D20" s="165">
        <f>'2020'!CN21</f>
        <v>0</v>
      </c>
      <c r="E20" s="165">
        <f>'2020'!CQ21</f>
        <v>9253</v>
      </c>
      <c r="F20" s="165">
        <f>'2020'!CS21</f>
        <v>235</v>
      </c>
      <c r="G20" s="165">
        <f t="shared" si="0"/>
        <v>9488</v>
      </c>
    </row>
    <row r="21" spans="1:7" ht="24.95" customHeight="1">
      <c r="A21" s="125">
        <v>20</v>
      </c>
      <c r="B21" s="162" t="str">
        <f>'[1]2020'!CK22</f>
        <v>BNR</v>
      </c>
      <c r="C21" s="165">
        <f>'2020'!CL22</f>
        <v>0</v>
      </c>
      <c r="D21" s="165">
        <f>'2020'!CN22</f>
        <v>0</v>
      </c>
      <c r="E21" s="165">
        <f>'2020'!CQ22</f>
        <v>0</v>
      </c>
      <c r="F21" s="165">
        <f>'2020'!CS22</f>
        <v>0</v>
      </c>
      <c r="G21" s="165">
        <f t="shared" si="0"/>
        <v>0</v>
      </c>
    </row>
    <row r="22" spans="1:7" ht="24.95" customHeight="1">
      <c r="A22" s="125">
        <v>21</v>
      </c>
      <c r="B22" s="162" t="str">
        <f>'[1]2020'!CK23</f>
        <v>Rvbhs</v>
      </c>
      <c r="C22" s="165">
        <f>'2020'!CL23</f>
        <v>49046</v>
      </c>
      <c r="D22" s="165">
        <f>'2020'!CN23</f>
        <v>0</v>
      </c>
      <c r="E22" s="165">
        <f>'2020'!CQ23</f>
        <v>0</v>
      </c>
      <c r="F22" s="165">
        <f>'2020'!CS23</f>
        <v>0</v>
      </c>
      <c r="G22" s="165">
        <f t="shared" si="0"/>
        <v>0</v>
      </c>
    </row>
    <row r="23" spans="1:7" ht="24.95" customHeight="1">
      <c r="A23" s="125"/>
      <c r="B23" s="128"/>
      <c r="C23" s="165">
        <f>'2020'!CL24</f>
        <v>1215596</v>
      </c>
      <c r="D23" s="165">
        <f>'2020'!CN24</f>
        <v>50000</v>
      </c>
      <c r="E23" s="165">
        <f>'2020'!CQ24</f>
        <v>1494950</v>
      </c>
      <c r="F23" s="165">
        <f>'2020'!CS24</f>
        <v>25893</v>
      </c>
      <c r="G23" s="165">
        <f t="shared" si="0"/>
        <v>1520843</v>
      </c>
    </row>
    <row r="24" spans="1:7" ht="24.95" customHeight="1">
      <c r="A24" s="125"/>
      <c r="B24" s="125"/>
      <c r="C24" s="126"/>
      <c r="D24" s="127"/>
      <c r="E24" s="127"/>
      <c r="F24" s="125"/>
      <c r="G24" s="127"/>
    </row>
  </sheetData>
  <pageMargins left="0" right="0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S54"/>
  <sheetViews>
    <sheetView topLeftCell="A16" workbookViewId="0">
      <selection activeCell="R25" sqref="R25"/>
    </sheetView>
  </sheetViews>
  <sheetFormatPr defaultRowHeight="15"/>
  <cols>
    <col min="1" max="1" width="2" customWidth="1"/>
    <col min="2" max="2" width="1.85546875" customWidth="1"/>
    <col min="4" max="4" width="7.5703125" customWidth="1"/>
    <col min="5" max="5" width="12.28515625" customWidth="1"/>
    <col min="6" max="6" width="12.7109375" customWidth="1"/>
    <col min="7" max="7" width="11.28515625" customWidth="1"/>
    <col min="8" max="8" width="11" customWidth="1"/>
    <col min="9" max="9" width="14" customWidth="1"/>
    <col min="11" max="11" width="6.42578125" customWidth="1"/>
    <col min="12" max="12" width="1.42578125" customWidth="1"/>
    <col min="13" max="13" width="0.7109375" hidden="1" customWidth="1"/>
    <col min="14" max="14" width="1.7109375" customWidth="1"/>
  </cols>
  <sheetData>
    <row r="1" spans="1:17" ht="27">
      <c r="A1" s="46"/>
      <c r="B1" s="46"/>
      <c r="C1" s="264" t="s">
        <v>116</v>
      </c>
      <c r="D1" s="264"/>
      <c r="E1" s="264"/>
      <c r="F1" s="264"/>
      <c r="G1" s="264"/>
      <c r="H1" s="264"/>
      <c r="I1" s="264"/>
      <c r="J1" s="264"/>
      <c r="K1" s="264"/>
      <c r="L1" s="264"/>
      <c r="M1" s="46"/>
    </row>
    <row r="2" spans="1:17" ht="20.25">
      <c r="A2" s="46"/>
      <c r="B2" s="46"/>
      <c r="C2" s="265" t="s">
        <v>165</v>
      </c>
      <c r="D2" s="265"/>
      <c r="E2" s="265"/>
      <c r="F2" s="265"/>
      <c r="G2" s="265"/>
      <c r="H2" s="265"/>
      <c r="I2" s="265"/>
      <c r="J2" s="265"/>
      <c r="K2" s="265"/>
      <c r="L2" s="265"/>
      <c r="M2" s="265"/>
      <c r="Q2">
        <v>12</v>
      </c>
    </row>
    <row r="3" spans="1:17" ht="16.5">
      <c r="A3" s="46"/>
      <c r="B3" s="46"/>
      <c r="C3" s="266" t="s">
        <v>166</v>
      </c>
      <c r="D3" s="266"/>
      <c r="E3" s="266"/>
      <c r="F3" s="266"/>
      <c r="G3" s="266"/>
      <c r="H3" s="266"/>
      <c r="I3" s="266"/>
      <c r="J3" s="266"/>
      <c r="K3" s="266"/>
      <c r="L3" s="266"/>
      <c r="M3" s="46"/>
    </row>
    <row r="4" spans="1:17" ht="29.25">
      <c r="A4" s="46"/>
      <c r="B4" s="46"/>
      <c r="C4" s="129" t="s">
        <v>167</v>
      </c>
      <c r="D4" s="130"/>
      <c r="E4" s="131" t="s">
        <v>168</v>
      </c>
      <c r="F4" s="132" t="str">
        <f>VLOOKUP(Q2,'2020'!A1:CZ31,2,0)</f>
        <v>Mithun Das</v>
      </c>
      <c r="G4" s="130"/>
      <c r="H4" s="130"/>
      <c r="I4" s="130"/>
      <c r="J4" s="3"/>
      <c r="K4" s="3"/>
      <c r="L4" s="46"/>
      <c r="M4" s="46"/>
    </row>
    <row r="5" spans="1:17" ht="23.25" customHeight="1">
      <c r="A5" s="46"/>
      <c r="B5" s="271" t="s">
        <v>185</v>
      </c>
      <c r="C5" s="271"/>
      <c r="D5" s="271"/>
      <c r="E5" s="271"/>
      <c r="F5" s="271"/>
      <c r="G5" s="271"/>
      <c r="H5" s="271"/>
      <c r="I5" s="271"/>
      <c r="J5" s="271"/>
      <c r="K5" s="271"/>
      <c r="L5" s="271"/>
      <c r="M5" s="133"/>
    </row>
    <row r="6" spans="1:17" ht="23.25">
      <c r="A6" s="134"/>
      <c r="B6" s="46"/>
      <c r="C6" s="267" t="s">
        <v>169</v>
      </c>
      <c r="D6" s="267"/>
      <c r="E6" s="267"/>
      <c r="F6" s="267"/>
      <c r="G6" s="267"/>
      <c r="H6" s="267"/>
      <c r="I6" s="267"/>
      <c r="J6" s="267"/>
      <c r="K6" s="267"/>
      <c r="L6" s="268"/>
      <c r="M6" s="135"/>
    </row>
    <row r="7" spans="1:17" ht="25.5">
      <c r="A7" s="134"/>
      <c r="B7" s="3"/>
      <c r="C7" s="269" t="s">
        <v>129</v>
      </c>
      <c r="D7" s="269"/>
      <c r="E7" s="136" t="s">
        <v>149</v>
      </c>
      <c r="F7" s="136" t="s">
        <v>170</v>
      </c>
      <c r="G7" s="136" t="s">
        <v>89</v>
      </c>
      <c r="H7" s="154" t="s">
        <v>171</v>
      </c>
      <c r="I7" s="136" t="s">
        <v>12</v>
      </c>
      <c r="J7" s="270" t="s">
        <v>130</v>
      </c>
      <c r="K7" s="270"/>
      <c r="L7" s="157"/>
      <c r="M7" s="137"/>
    </row>
    <row r="8" spans="1:17" ht="23.25">
      <c r="A8" s="138"/>
      <c r="B8" s="139"/>
      <c r="C8" s="262" t="s">
        <v>132</v>
      </c>
      <c r="D8" s="262"/>
      <c r="E8" s="140">
        <f>VLOOKUP(Q2,'2020'!A1:CZ31,6,0)</f>
        <v>0</v>
      </c>
      <c r="F8" s="140">
        <f>VLOOKUP(Q2,'2020'!A1:CZ31,7,0)</f>
        <v>0</v>
      </c>
      <c r="G8" s="140">
        <f>VLOOKUP(Q2,'2020'!A1:CZ31,5,0)</f>
        <v>0</v>
      </c>
      <c r="H8" s="140">
        <f>VLOOKUP(Q2,'2020'!A1:CZ31,4,0)</f>
        <v>0</v>
      </c>
      <c r="I8" s="140">
        <f>VLOOKUP(Q2,'2020'!A1:CZ31,8,0)</f>
        <v>0</v>
      </c>
      <c r="J8" s="263">
        <f>VLOOKUP(Q2,'2020'!A1:CZ31,9,0)</f>
        <v>0</v>
      </c>
      <c r="K8" s="263"/>
      <c r="L8" s="158"/>
      <c r="M8" s="141"/>
    </row>
    <row r="9" spans="1:17" ht="18">
      <c r="A9" s="134"/>
      <c r="B9" s="3"/>
      <c r="C9" s="262" t="s">
        <v>133</v>
      </c>
      <c r="D9" s="262"/>
      <c r="E9" s="140">
        <f>VLOOKUP(Q2,'2020'!A1:CZ31,13,0)</f>
        <v>0</v>
      </c>
      <c r="F9" s="140">
        <f>VLOOKUP(Q2,'2020'!A1:CZ31,14,0)</f>
        <v>0</v>
      </c>
      <c r="G9" s="140">
        <f>VLOOKUP(Q2,'2020'!A1:CZ31,12,0)</f>
        <v>0</v>
      </c>
      <c r="H9" s="140">
        <f>VLOOKUP(Q2,'2020'!A1:CZ31,11,0)</f>
        <v>0</v>
      </c>
      <c r="I9" s="140">
        <f>VLOOKUP(Q2,'2020'!A1:CZ31,15,0)</f>
        <v>0</v>
      </c>
      <c r="J9" s="263">
        <f>VLOOKUP(Q2,'2020'!A1:CZ31,17,0)</f>
        <v>0</v>
      </c>
      <c r="K9" s="263"/>
      <c r="L9" s="141"/>
      <c r="M9" s="141"/>
    </row>
    <row r="10" spans="1:17" ht="18">
      <c r="A10" s="134"/>
      <c r="B10" s="3"/>
      <c r="C10" s="262" t="s">
        <v>134</v>
      </c>
      <c r="D10" s="262"/>
      <c r="E10" s="140">
        <f>VLOOKUP(Q2,'2020'!A1:CZ31,20,0)</f>
        <v>0</v>
      </c>
      <c r="F10" s="140">
        <f>VLOOKUP(Q2,'2020'!A1:CZ31,21,0)</f>
        <v>0</v>
      </c>
      <c r="G10" s="140">
        <f>VLOOKUP(Q2,'2020'!A1:CZ31,19,0)</f>
        <v>0</v>
      </c>
      <c r="H10" s="140">
        <f>VLOOKUP(Q2,'2020'!A1:CZ31,18,0)</f>
        <v>0</v>
      </c>
      <c r="I10" s="140">
        <f>VLOOKUP(Q2,'2020'!A1:CZ31,22,0)</f>
        <v>0</v>
      </c>
      <c r="J10" s="263">
        <f>VLOOKUP(Q2,'2020'!A1:CZ31,24,0)</f>
        <v>0</v>
      </c>
      <c r="K10" s="263"/>
      <c r="L10" s="141"/>
      <c r="M10" s="141"/>
    </row>
    <row r="11" spans="1:17" ht="18">
      <c r="A11" s="134"/>
      <c r="B11" s="3"/>
      <c r="C11" s="262" t="s">
        <v>135</v>
      </c>
      <c r="D11" s="262"/>
      <c r="E11" s="140">
        <f>VLOOKUP(Q2,'2020'!A1:CZ31,27,0)</f>
        <v>0</v>
      </c>
      <c r="F11" s="140">
        <f>VLOOKUP(Q2,'2020'!A1:CZ31,28,0)</f>
        <v>0</v>
      </c>
      <c r="G11" s="140">
        <f>VLOOKUP(Q2,'2020'!A1:CZ31,26,0)</f>
        <v>0</v>
      </c>
      <c r="H11" s="140">
        <f>VLOOKUP(Q2,'2020'!A1:CZ31,25,0)</f>
        <v>0</v>
      </c>
      <c r="I11" s="140">
        <f>VLOOKUP(Q2,'2020'!A1:CZ31,29,0)</f>
        <v>0</v>
      </c>
      <c r="J11" s="263">
        <f>VLOOKUP(Q2,'2020'!A1:CZ31,30,0)</f>
        <v>0</v>
      </c>
      <c r="K11" s="263"/>
      <c r="L11" s="141"/>
      <c r="M11" s="141"/>
    </row>
    <row r="12" spans="1:17" ht="18">
      <c r="A12" s="134"/>
      <c r="B12" s="3"/>
      <c r="C12" s="262" t="s">
        <v>136</v>
      </c>
      <c r="D12" s="262"/>
      <c r="E12" s="140">
        <f>VLOOKUP(Q2,'2020'!A1:CZ31,34,0)</f>
        <v>0</v>
      </c>
      <c r="F12" s="140">
        <f>VLOOKUP(Q2,'2020'!A1:CZ31,35,0)</f>
        <v>0</v>
      </c>
      <c r="G12" s="140">
        <f>VLOOKUP(Q2,'2020'!A1:CZ31,33,0)</f>
        <v>0</v>
      </c>
      <c r="H12" s="140">
        <f>VLOOKUP(Q2,'2020'!A1:CZ31,32,0)</f>
        <v>0</v>
      </c>
      <c r="I12" s="140">
        <f>VLOOKUP(Q2,'2020'!A1:CZ31,36,0)</f>
        <v>0</v>
      </c>
      <c r="J12" s="263">
        <f>VLOOKUP(Q2,'2020'!A1:CZ31,37,0)</f>
        <v>0</v>
      </c>
      <c r="K12" s="263"/>
      <c r="L12" s="141"/>
      <c r="M12" s="141"/>
    </row>
    <row r="13" spans="1:17" ht="18">
      <c r="A13" s="134"/>
      <c r="B13" s="3"/>
      <c r="C13" s="262" t="s">
        <v>137</v>
      </c>
      <c r="D13" s="262"/>
      <c r="E13" s="140">
        <f>VLOOKUP(Q2,'2020'!A1:CZ31,41,0)</f>
        <v>0</v>
      </c>
      <c r="F13" s="140">
        <f>VLOOKUP(Q2,'2020'!A1:CZ31,42,0)</f>
        <v>0</v>
      </c>
      <c r="G13" s="140">
        <f>VLOOKUP(Q2,'2020'!A1:CZ31,40,0)</f>
        <v>0</v>
      </c>
      <c r="H13" s="140">
        <f>VLOOKUP(Q2,'2020'!A1:CZ31,39,0)</f>
        <v>0</v>
      </c>
      <c r="I13" s="140">
        <f>VLOOKUP(Q2,'2020'!A1:CZ31,43,0)</f>
        <v>0</v>
      </c>
      <c r="J13" s="263">
        <f>VLOOKUP(Q2,'2020'!A1:CZ31,45,0)</f>
        <v>0</v>
      </c>
      <c r="K13" s="263"/>
      <c r="L13" s="141"/>
      <c r="M13" s="141"/>
    </row>
    <row r="14" spans="1:17" ht="18">
      <c r="A14" s="134"/>
      <c r="B14" s="3"/>
      <c r="C14" s="262" t="s">
        <v>138</v>
      </c>
      <c r="D14" s="262"/>
      <c r="E14" s="140">
        <f>VLOOKUP(Q2,'2020'!A1:CZ31,50,0)</f>
        <v>1000</v>
      </c>
      <c r="F14" s="140">
        <f>VLOOKUP(Q2,'2020'!A1:CZ31,51,0)</f>
        <v>1000</v>
      </c>
      <c r="G14" s="140">
        <f>VLOOKUP(Q2,'2020'!A1:CZ31,49,0)</f>
        <v>448</v>
      </c>
      <c r="H14" s="140">
        <f>VLOOKUP(Q2,'2020'!A1:CZ31,48,0)</f>
        <v>2552</v>
      </c>
      <c r="I14" s="140">
        <f>VLOOKUP(Q2,'2020'!A1:CZ31,52,0)</f>
        <v>5000</v>
      </c>
      <c r="J14" s="263">
        <f>VLOOKUP(Q2,'2020'!A1:CZ31,53,0)</f>
        <v>0</v>
      </c>
      <c r="K14" s="263"/>
      <c r="L14" s="141"/>
      <c r="M14" s="141"/>
    </row>
    <row r="15" spans="1:17" ht="18">
      <c r="A15" s="134"/>
      <c r="B15" s="3"/>
      <c r="C15" s="262" t="s">
        <v>139</v>
      </c>
      <c r="D15" s="262"/>
      <c r="E15" s="140">
        <f>VLOOKUP(Q2,'2020'!A1:CZ31,57,0)</f>
        <v>1000</v>
      </c>
      <c r="F15" s="140">
        <f>VLOOKUP(Q2,'2020'!A1:CZ31,58,0)</f>
        <v>1000</v>
      </c>
      <c r="G15" s="140">
        <f>VLOOKUP(Q2,'2020'!A1:CZ31,56,0)</f>
        <v>435</v>
      </c>
      <c r="H15" s="140">
        <f>VLOOKUP(Q2,'2020'!A1:CZ31,55,0)</f>
        <v>2565</v>
      </c>
      <c r="I15" s="140">
        <f>VLOOKUP(Q2,'2020'!A1:CZ31,59,0)</f>
        <v>5000</v>
      </c>
      <c r="J15" s="263">
        <f>VLOOKUP(Q2,'2020'!A1:CZ31,60,0)</f>
        <v>0</v>
      </c>
      <c r="K15" s="263"/>
      <c r="L15" s="141"/>
      <c r="M15" s="141"/>
    </row>
    <row r="16" spans="1:17" ht="18">
      <c r="A16" s="134"/>
      <c r="B16" s="3"/>
      <c r="C16" s="262" t="s">
        <v>140</v>
      </c>
      <c r="D16" s="262"/>
      <c r="E16" s="140">
        <f>VLOOKUP(Q2,'2020'!A1:CZ31,64,0)</f>
        <v>1000</v>
      </c>
      <c r="F16" s="140">
        <f>VLOOKUP(Q2,'2020'!A1:CZ31,65,0)</f>
        <v>1000</v>
      </c>
      <c r="G16" s="140">
        <f>VLOOKUP(Q2,'2020'!A1:CZ31,63,0)</f>
        <v>422</v>
      </c>
      <c r="H16" s="140">
        <f>VLOOKUP(Q2,'2020'!A1:CZ31,62,0)</f>
        <v>0</v>
      </c>
      <c r="I16" s="140">
        <f>VLOOKUP(Q2,'2020'!A1:CZ31,66,0)</f>
        <v>2423</v>
      </c>
      <c r="J16" s="263">
        <f>VLOOKUP(Q2,'2020'!A1:CZ31,67,0)</f>
        <v>2423</v>
      </c>
      <c r="K16" s="263"/>
      <c r="L16" s="141"/>
      <c r="M16" s="141"/>
    </row>
    <row r="17" spans="1:19" ht="18">
      <c r="A17" s="134"/>
      <c r="B17" s="3"/>
      <c r="C17" s="262" t="s">
        <v>141</v>
      </c>
      <c r="D17" s="262"/>
      <c r="E17" s="140">
        <f>VLOOKUP(Q2,'2020'!A1:CZ31,71,0)</f>
        <v>1000</v>
      </c>
      <c r="F17" s="140">
        <f>VLOOKUP(Q2,'2020'!A1:CZ31,72,0)</f>
        <v>1000</v>
      </c>
      <c r="G17" s="140">
        <f>VLOOKUP(Q2,'2020'!A1:CZ31,70,0)</f>
        <v>434</v>
      </c>
      <c r="H17" s="140">
        <f>VLOOKUP(Q2,'2020'!A1:CZ31,69,0)</f>
        <v>0</v>
      </c>
      <c r="I17" s="140">
        <f>VLOOKUP(Q2,'2020'!A1:CZ31,73,0)</f>
        <v>2435</v>
      </c>
      <c r="J17" s="263">
        <f>VLOOKUP(Q2,'2020'!A1:CZ31,74,0)</f>
        <v>17435</v>
      </c>
      <c r="K17" s="263"/>
      <c r="L17" s="141"/>
      <c r="M17" s="141"/>
    </row>
    <row r="18" spans="1:19" ht="18">
      <c r="A18" s="134"/>
      <c r="B18" s="3"/>
      <c r="C18" s="262" t="s">
        <v>142</v>
      </c>
      <c r="D18" s="262"/>
      <c r="E18" s="140">
        <f>VLOOKUP(Q2,'2020'!A1:CZ31,78,0)</f>
        <v>1000</v>
      </c>
      <c r="F18" s="140">
        <f>VLOOKUP(Q2,'2020'!A1:CZ31,79,0)</f>
        <v>1000</v>
      </c>
      <c r="G18" s="140">
        <f>VLOOKUP(Q2,'2020'!A1:CZ31,77,0)</f>
        <v>521</v>
      </c>
      <c r="H18" s="140">
        <f>VLOOKUP(Q2,'2020'!A1:CZ31,76,0)</f>
        <v>0</v>
      </c>
      <c r="I18" s="140">
        <f>VLOOKUP(Q2,'2020'!A1:CZ31,80,0)</f>
        <v>2521</v>
      </c>
      <c r="J18" s="263">
        <f>VLOOKUP(Q2,'2020'!A1:CZ31,81,0)</f>
        <v>2521</v>
      </c>
      <c r="K18" s="263"/>
      <c r="L18" s="141"/>
      <c r="M18" s="141"/>
    </row>
    <row r="19" spans="1:19" ht="18">
      <c r="A19" s="134"/>
      <c r="B19" s="134"/>
      <c r="C19" s="262" t="s">
        <v>143</v>
      </c>
      <c r="D19" s="262"/>
      <c r="E19" s="140">
        <f>VLOOKUP(Q2,'2020'!A1:CZ31,85,0)</f>
        <v>1000</v>
      </c>
      <c r="F19" s="140">
        <f>VLOOKUP(Q2,'2020'!A1:CZ31,86,0)</f>
        <v>0</v>
      </c>
      <c r="G19" s="140">
        <f>VLOOKUP(Q2,'2020'!A1:CZ31,84,0)</f>
        <v>534</v>
      </c>
      <c r="H19" s="140">
        <f>VLOOKUP(Q2,'2020'!A1:CZ31,83,0)</f>
        <v>8466</v>
      </c>
      <c r="I19" s="140">
        <f>VLOOKUP(Q2,'2020'!A1:CZ31,87,0)</f>
        <v>10000</v>
      </c>
      <c r="J19" s="263">
        <f>VLOOKUP(Q2,'2020'!A1:CZ31,88,0)</f>
        <v>0</v>
      </c>
      <c r="K19" s="263"/>
      <c r="L19" s="141"/>
      <c r="M19" s="141"/>
    </row>
    <row r="20" spans="1:19" ht="18">
      <c r="A20" s="134"/>
      <c r="B20" s="3"/>
      <c r="C20" s="259" t="s">
        <v>12</v>
      </c>
      <c r="D20" s="260"/>
      <c r="E20" s="142">
        <f>SUM(E8:E19)</f>
        <v>6000</v>
      </c>
      <c r="F20" s="142">
        <f>SUM(F8:F19)</f>
        <v>5000</v>
      </c>
      <c r="G20" s="142">
        <f>SUM(G8:G19)</f>
        <v>2794</v>
      </c>
      <c r="H20" s="142">
        <f>SUM(H8:H19)</f>
        <v>13583</v>
      </c>
      <c r="I20" s="142">
        <f>SUM(I8:I19)</f>
        <v>27379</v>
      </c>
      <c r="J20" s="254">
        <f>SUM(J8:K19)</f>
        <v>22379</v>
      </c>
      <c r="K20" s="255"/>
      <c r="L20" s="134"/>
      <c r="M20" s="134"/>
    </row>
    <row r="21" spans="1:19" ht="23.25">
      <c r="A21" s="134"/>
      <c r="B21" s="3"/>
      <c r="C21" s="139"/>
      <c r="D21" s="3"/>
      <c r="E21" s="3"/>
      <c r="F21" s="3"/>
      <c r="G21" s="3"/>
      <c r="H21" s="3"/>
      <c r="I21" s="3"/>
      <c r="J21" s="3"/>
      <c r="K21" s="3"/>
      <c r="L21" s="134"/>
      <c r="M21" s="134"/>
    </row>
    <row r="22" spans="1:19" ht="23.25">
      <c r="A22" s="134"/>
      <c r="B22" s="3"/>
      <c r="C22" s="139" t="s">
        <v>172</v>
      </c>
      <c r="D22" s="3"/>
      <c r="E22" s="3"/>
      <c r="F22" s="3"/>
      <c r="G22" s="256" t="str">
        <f>E20 &amp; "(This Year)"</f>
        <v>6000(This Year)</v>
      </c>
      <c r="H22" s="256"/>
      <c r="I22" s="156" t="s">
        <v>184</v>
      </c>
      <c r="J22" s="3"/>
      <c r="K22" s="143"/>
      <c r="L22" s="134"/>
      <c r="M22" s="134"/>
    </row>
    <row r="23" spans="1:19" ht="23.25">
      <c r="A23" s="134"/>
      <c r="B23" s="133"/>
      <c r="C23" s="144" t="s">
        <v>173</v>
      </c>
      <c r="D23" s="133"/>
      <c r="E23" s="133"/>
      <c r="F23" s="133"/>
      <c r="G23" s="257">
        <f>VLOOKUP(Q2,'2020'!A1:CZ31,6,0)</f>
        <v>0</v>
      </c>
      <c r="H23" s="257"/>
      <c r="I23" s="133"/>
      <c r="J23" s="258">
        <f>VLOOKUP(Q2,'2020'!A1:CZ31,90,0)</f>
        <v>98341</v>
      </c>
      <c r="K23" s="258"/>
      <c r="L23" s="145"/>
      <c r="M23" s="145"/>
    </row>
    <row r="24" spans="1:19" ht="23.25">
      <c r="A24" s="46"/>
      <c r="B24" s="46"/>
      <c r="C24" s="146"/>
      <c r="D24" s="46"/>
      <c r="E24" s="46"/>
      <c r="F24" s="46"/>
      <c r="G24" s="147"/>
      <c r="H24" s="147"/>
      <c r="I24" s="46"/>
      <c r="J24" s="148"/>
      <c r="K24" s="148"/>
      <c r="L24" s="160"/>
      <c r="M24" s="160"/>
      <c r="P24" s="46"/>
    </row>
    <row r="25" spans="1:19" ht="23.25">
      <c r="A25" s="3"/>
      <c r="B25" s="149"/>
      <c r="C25" s="261" t="s">
        <v>174</v>
      </c>
      <c r="D25" s="261"/>
      <c r="E25" s="261"/>
      <c r="F25" s="261"/>
      <c r="G25" s="261"/>
      <c r="H25" s="261"/>
      <c r="I25" s="261"/>
      <c r="J25" s="261"/>
      <c r="K25" s="261"/>
      <c r="L25" s="159"/>
      <c r="M25" s="134"/>
      <c r="P25" s="46"/>
    </row>
    <row r="26" spans="1:19" ht="23.25">
      <c r="A26" s="3"/>
      <c r="B26" s="150"/>
      <c r="C26" s="139" t="s">
        <v>175</v>
      </c>
      <c r="D26" s="46"/>
      <c r="E26" s="46"/>
      <c r="F26" s="46"/>
      <c r="G26" s="46"/>
      <c r="H26" s="250">
        <f>'2020'!C31</f>
        <v>198712</v>
      </c>
      <c r="I26" s="250"/>
      <c r="J26" s="46"/>
      <c r="K26" s="46"/>
      <c r="L26" s="134"/>
      <c r="M26" s="134"/>
    </row>
    <row r="27" spans="1:19" ht="23.25">
      <c r="A27" s="3"/>
      <c r="B27" s="150"/>
      <c r="C27" s="139" t="s">
        <v>176</v>
      </c>
      <c r="D27" s="46"/>
      <c r="E27" s="46"/>
      <c r="F27" s="46"/>
      <c r="G27" s="46"/>
      <c r="H27" s="250">
        <f>VLOOKUP(Q2,'2020'!A1:CZ31,6,0)</f>
        <v>0</v>
      </c>
      <c r="I27" s="250"/>
      <c r="J27" s="46"/>
      <c r="K27" s="46"/>
      <c r="L27" s="134"/>
      <c r="M27" s="134"/>
    </row>
    <row r="28" spans="1:19" ht="23.25">
      <c r="A28" s="3"/>
      <c r="B28" s="150"/>
      <c r="C28" s="139" t="s">
        <v>177</v>
      </c>
      <c r="D28" s="46"/>
      <c r="E28" s="46"/>
      <c r="F28" s="46"/>
      <c r="G28" s="46"/>
      <c r="H28" s="250">
        <f>'2020'!H29</f>
        <v>144000</v>
      </c>
      <c r="I28" s="250"/>
      <c r="J28" s="46"/>
      <c r="K28" s="46"/>
      <c r="L28" s="134"/>
      <c r="M28" s="134"/>
      <c r="S28" s="46"/>
    </row>
    <row r="29" spans="1:19" ht="23.25">
      <c r="A29" s="3"/>
      <c r="B29" s="150"/>
      <c r="C29" s="146" t="s">
        <v>178</v>
      </c>
      <c r="D29" s="46"/>
      <c r="E29" s="46"/>
      <c r="F29" s="46"/>
      <c r="G29" s="46"/>
      <c r="H29" s="250">
        <f>'2020'!F33</f>
        <v>100000</v>
      </c>
      <c r="I29" s="250"/>
      <c r="J29" s="151"/>
      <c r="K29" s="46"/>
      <c r="L29" s="134"/>
      <c r="M29" s="134"/>
    </row>
    <row r="30" spans="1:19" ht="23.25">
      <c r="A30" s="3"/>
      <c r="B30" s="150"/>
      <c r="C30" s="139" t="s">
        <v>179</v>
      </c>
      <c r="D30" s="46"/>
      <c r="E30" s="46"/>
      <c r="F30" s="46"/>
      <c r="G30" s="46"/>
      <c r="H30" s="250">
        <v>25</v>
      </c>
      <c r="I30" s="250"/>
      <c r="J30" s="46"/>
      <c r="K30" s="46"/>
      <c r="L30" s="134"/>
      <c r="M30" s="134"/>
    </row>
    <row r="31" spans="1:19" ht="23.25">
      <c r="A31" s="3"/>
      <c r="B31" s="150"/>
      <c r="C31" s="139" t="s">
        <v>180</v>
      </c>
      <c r="D31" s="46"/>
      <c r="E31" s="46"/>
      <c r="F31" s="46"/>
      <c r="G31" s="46"/>
      <c r="H31" s="250">
        <f>'2020'!F32</f>
        <v>259287</v>
      </c>
      <c r="I31" s="250"/>
      <c r="J31" s="46"/>
      <c r="K31" s="46"/>
      <c r="L31" s="134"/>
      <c r="M31" s="134"/>
      <c r="O31" s="29"/>
    </row>
    <row r="32" spans="1:19" ht="23.25">
      <c r="A32" s="3"/>
      <c r="B32" s="150"/>
      <c r="C32" s="139" t="s">
        <v>181</v>
      </c>
      <c r="D32" s="46"/>
      <c r="E32" s="46"/>
      <c r="F32" s="46"/>
      <c r="G32" s="46"/>
      <c r="H32" s="250">
        <f>'2020'!C33</f>
        <v>174683</v>
      </c>
      <c r="I32" s="250"/>
      <c r="J32" s="46"/>
      <c r="K32" s="46"/>
      <c r="L32" s="134"/>
      <c r="M32" s="134"/>
    </row>
    <row r="33" spans="1:14" ht="23.25">
      <c r="A33" s="3"/>
      <c r="B33" s="152"/>
      <c r="C33" s="153" t="s">
        <v>182</v>
      </c>
      <c r="D33" s="133"/>
      <c r="E33" s="133"/>
      <c r="F33" s="133"/>
      <c r="G33" s="133"/>
      <c r="H33" s="251">
        <f>'2020'!M39</f>
        <v>25893</v>
      </c>
      <c r="I33" s="251"/>
      <c r="J33" s="133"/>
      <c r="K33" s="133"/>
      <c r="L33" s="145"/>
      <c r="M33" s="145"/>
    </row>
    <row r="34" spans="1:14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46"/>
      <c r="M34" s="3"/>
      <c r="N34" s="46"/>
    </row>
    <row r="35" spans="1:14" ht="28.5">
      <c r="A35" s="3"/>
      <c r="B35" s="3"/>
      <c r="C35" s="3"/>
      <c r="D35" s="139" t="s">
        <v>186</v>
      </c>
      <c r="E35" s="3"/>
      <c r="F35" s="3"/>
      <c r="G35" s="3"/>
      <c r="H35" s="3"/>
      <c r="I35" s="3"/>
      <c r="J35" s="252">
        <f>VLOOKUP(Q2,'2020'!A1:CZ31,95,0)</f>
        <v>73419</v>
      </c>
      <c r="K35" s="252"/>
      <c r="L35" s="3"/>
      <c r="M35" s="3"/>
    </row>
    <row r="36" spans="1:14" ht="30">
      <c r="A36" s="3"/>
      <c r="B36" s="3"/>
      <c r="C36" s="3"/>
      <c r="D36" s="139" t="s">
        <v>187</v>
      </c>
      <c r="E36" s="3"/>
      <c r="F36" s="3"/>
      <c r="G36" s="3"/>
      <c r="H36" s="3"/>
      <c r="I36" s="3"/>
      <c r="J36" s="252">
        <f>VLOOKUP(Q2,'2020'!A1:CZ31,97,0)</f>
        <v>1200</v>
      </c>
      <c r="K36" s="252"/>
      <c r="L36" s="3"/>
      <c r="M36" s="3"/>
    </row>
    <row r="37" spans="1:14" ht="23.25">
      <c r="A37" s="3"/>
      <c r="B37" s="3"/>
      <c r="C37" s="3"/>
      <c r="D37" s="139" t="s">
        <v>183</v>
      </c>
      <c r="E37" s="3"/>
      <c r="F37" s="3"/>
      <c r="G37" s="3"/>
      <c r="H37" s="3"/>
      <c r="I37" s="3"/>
      <c r="J37" s="253">
        <f>J35+J36</f>
        <v>74619</v>
      </c>
      <c r="K37" s="253"/>
      <c r="L37" s="3"/>
      <c r="M37" s="3"/>
    </row>
    <row r="38" spans="1:14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spans="1:14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spans="1:14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spans="1:14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spans="1:14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spans="1:14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spans="1:14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spans="1:14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spans="1:14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spans="1:14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spans="1:14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spans="1:1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spans="1:1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</row>
  </sheetData>
  <mergeCells count="48">
    <mergeCell ref="C1:L1"/>
    <mergeCell ref="C2:M2"/>
    <mergeCell ref="C3:L3"/>
    <mergeCell ref="C6:L6"/>
    <mergeCell ref="C7:D7"/>
    <mergeCell ref="J7:K7"/>
    <mergeCell ref="B5:L5"/>
    <mergeCell ref="C8:D8"/>
    <mergeCell ref="J8:K8"/>
    <mergeCell ref="C9:D9"/>
    <mergeCell ref="J9:K9"/>
    <mergeCell ref="C10:D10"/>
    <mergeCell ref="J10:K10"/>
    <mergeCell ref="C11:D11"/>
    <mergeCell ref="J11:K11"/>
    <mergeCell ref="C12:D12"/>
    <mergeCell ref="J12:K12"/>
    <mergeCell ref="C13:D13"/>
    <mergeCell ref="J13:K13"/>
    <mergeCell ref="C14:D14"/>
    <mergeCell ref="J14:K14"/>
    <mergeCell ref="C15:D15"/>
    <mergeCell ref="J15:K15"/>
    <mergeCell ref="C16:D16"/>
    <mergeCell ref="J16:K16"/>
    <mergeCell ref="C17:D17"/>
    <mergeCell ref="J17:K17"/>
    <mergeCell ref="C18:D18"/>
    <mergeCell ref="J18:K18"/>
    <mergeCell ref="C19:D19"/>
    <mergeCell ref="J19:K19"/>
    <mergeCell ref="C20:D20"/>
    <mergeCell ref="H27:I27"/>
    <mergeCell ref="H28:I28"/>
    <mergeCell ref="H29:I29"/>
    <mergeCell ref="H30:I30"/>
    <mergeCell ref="C25:K25"/>
    <mergeCell ref="H31:I31"/>
    <mergeCell ref="J20:K20"/>
    <mergeCell ref="G22:H22"/>
    <mergeCell ref="G23:H23"/>
    <mergeCell ref="J23:K23"/>
    <mergeCell ref="H26:I26"/>
    <mergeCell ref="H32:I32"/>
    <mergeCell ref="H33:I33"/>
    <mergeCell ref="J35:K35"/>
    <mergeCell ref="J36:K36"/>
    <mergeCell ref="J37:K37"/>
  </mergeCells>
  <pageMargins left="0" right="0" top="0.5" bottom="0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:P28"/>
  <sheetViews>
    <sheetView workbookViewId="0">
      <selection activeCell="N4" sqref="N4:N5"/>
    </sheetView>
  </sheetViews>
  <sheetFormatPr defaultRowHeight="15"/>
  <cols>
    <col min="1" max="1" width="1.42578125" customWidth="1"/>
    <col min="2" max="2" width="2.5703125" customWidth="1"/>
    <col min="7" max="7" width="9.5703125" bestFit="1" customWidth="1"/>
    <col min="10" max="10" width="14.28515625" customWidth="1"/>
    <col min="11" max="11" width="12.140625" customWidth="1"/>
    <col min="12" max="12" width="2.42578125" customWidth="1"/>
  </cols>
  <sheetData>
    <row r="1" spans="1:16" ht="21">
      <c r="A1" s="3"/>
      <c r="B1" s="3"/>
      <c r="C1" s="225" t="str">
        <f>IF(N1=1,"Name: ","")</f>
        <v xml:space="preserve">Name: </v>
      </c>
      <c r="D1" s="225"/>
      <c r="E1" s="227" t="str">
        <f>VLOOKUP(P2,'2020'!A1:CZ31,2,0)</f>
        <v>Mukti Roy</v>
      </c>
      <c r="F1" s="227"/>
      <c r="G1" s="227"/>
      <c r="H1" s="227"/>
      <c r="I1" s="227"/>
      <c r="J1" s="227"/>
      <c r="K1" s="227"/>
      <c r="L1" s="120"/>
      <c r="N1" s="272">
        <v>1</v>
      </c>
    </row>
    <row r="2" spans="1:16" ht="21">
      <c r="A2" s="3"/>
      <c r="B2" s="3"/>
      <c r="C2" s="226"/>
      <c r="D2" s="226"/>
      <c r="E2" s="228"/>
      <c r="F2" s="228"/>
      <c r="G2" s="228"/>
      <c r="H2" s="228"/>
      <c r="I2" s="228"/>
      <c r="J2" s="228"/>
      <c r="K2" s="228"/>
      <c r="L2" s="121"/>
      <c r="N2" s="272"/>
      <c r="P2" s="273">
        <v>3</v>
      </c>
    </row>
    <row r="3" spans="1:16" ht="16.5">
      <c r="A3" s="3"/>
      <c r="B3" s="3"/>
      <c r="C3" s="118" t="s">
        <v>129</v>
      </c>
      <c r="D3" s="118" t="s">
        <v>130</v>
      </c>
      <c r="E3" s="118" t="s">
        <v>131</v>
      </c>
      <c r="F3" s="119" t="s">
        <v>89</v>
      </c>
      <c r="G3" s="119" t="s">
        <v>10</v>
      </c>
      <c r="H3" s="119" t="s">
        <v>11</v>
      </c>
      <c r="I3" s="119" t="s">
        <v>94</v>
      </c>
      <c r="J3" s="119" t="s">
        <v>145</v>
      </c>
      <c r="K3" s="119" t="s">
        <v>144</v>
      </c>
      <c r="L3" s="122"/>
      <c r="N3" s="3">
        <v>2</v>
      </c>
      <c r="P3" s="273"/>
    </row>
    <row r="4" spans="1:16">
      <c r="A4" s="3"/>
      <c r="B4" s="3"/>
      <c r="C4" s="231" t="s">
        <v>132</v>
      </c>
      <c r="D4" s="229"/>
      <c r="E4" s="229"/>
      <c r="F4" s="229"/>
      <c r="G4" s="230">
        <f>VLOOKUP(P2,'2020'!A1:CZ31,85,FALSE)</f>
        <v>1500</v>
      </c>
      <c r="H4" s="229"/>
      <c r="I4" s="229"/>
      <c r="J4" s="229"/>
      <c r="K4" s="229"/>
      <c r="L4" s="123"/>
      <c r="N4" s="272">
        <v>1</v>
      </c>
    </row>
    <row r="5" spans="1:16">
      <c r="A5" s="3"/>
      <c r="B5" s="3"/>
      <c r="C5" s="231"/>
      <c r="D5" s="229"/>
      <c r="E5" s="229"/>
      <c r="F5" s="229"/>
      <c r="G5" s="230"/>
      <c r="H5" s="229"/>
      <c r="I5" s="229"/>
      <c r="J5" s="229"/>
      <c r="K5" s="229"/>
      <c r="L5" s="123"/>
      <c r="N5" s="272"/>
    </row>
    <row r="6" spans="1:16">
      <c r="A6" s="3"/>
      <c r="B6" s="3"/>
      <c r="C6" s="231" t="s">
        <v>133</v>
      </c>
      <c r="D6" s="229"/>
      <c r="E6" s="229"/>
      <c r="F6" s="229"/>
      <c r="G6" s="230">
        <f>G4</f>
        <v>1500</v>
      </c>
      <c r="H6" s="229"/>
      <c r="I6" s="229"/>
      <c r="J6" s="229"/>
      <c r="K6" s="229"/>
      <c r="L6" s="123"/>
      <c r="N6" s="272">
        <v>2</v>
      </c>
    </row>
    <row r="7" spans="1:16">
      <c r="A7" s="3"/>
      <c r="B7" s="3"/>
      <c r="C7" s="231"/>
      <c r="D7" s="229"/>
      <c r="E7" s="229"/>
      <c r="F7" s="229"/>
      <c r="G7" s="230"/>
      <c r="H7" s="229"/>
      <c r="I7" s="229"/>
      <c r="J7" s="229"/>
      <c r="K7" s="229"/>
      <c r="L7" s="123"/>
      <c r="N7" s="272"/>
    </row>
    <row r="8" spans="1:16" ht="15" customHeight="1">
      <c r="A8" s="3"/>
      <c r="B8" s="3"/>
      <c r="C8" s="231" t="s">
        <v>134</v>
      </c>
      <c r="D8" s="229"/>
      <c r="E8" s="229"/>
      <c r="F8" s="229"/>
      <c r="G8" s="230">
        <f t="shared" ref="G8" si="0">G6</f>
        <v>1500</v>
      </c>
      <c r="H8" s="229"/>
      <c r="I8" s="229"/>
      <c r="J8" s="229"/>
      <c r="K8" s="229"/>
      <c r="L8" s="123"/>
      <c r="N8" s="272">
        <v>1</v>
      </c>
    </row>
    <row r="9" spans="1:16" ht="15" customHeight="1">
      <c r="A9" s="3"/>
      <c r="B9" s="3"/>
      <c r="C9" s="231"/>
      <c r="D9" s="229"/>
      <c r="E9" s="229"/>
      <c r="F9" s="229"/>
      <c r="G9" s="230"/>
      <c r="H9" s="229"/>
      <c r="I9" s="229"/>
      <c r="J9" s="229"/>
      <c r="K9" s="229"/>
      <c r="L9" s="123"/>
      <c r="N9" s="272"/>
    </row>
    <row r="10" spans="1:16">
      <c r="A10" s="3"/>
      <c r="B10" s="3"/>
      <c r="C10" s="231" t="s">
        <v>135</v>
      </c>
      <c r="D10" s="229"/>
      <c r="E10" s="229"/>
      <c r="F10" s="229"/>
      <c r="G10" s="230">
        <f t="shared" ref="G10" si="1">G8</f>
        <v>1500</v>
      </c>
      <c r="H10" s="229"/>
      <c r="I10" s="229"/>
      <c r="J10" s="229"/>
      <c r="K10" s="229"/>
      <c r="L10" s="123"/>
      <c r="N10" s="272"/>
    </row>
    <row r="11" spans="1:16">
      <c r="A11" s="3"/>
      <c r="B11" s="3"/>
      <c r="C11" s="231"/>
      <c r="D11" s="229"/>
      <c r="E11" s="229"/>
      <c r="F11" s="229"/>
      <c r="G11" s="230"/>
      <c r="H11" s="229"/>
      <c r="I11" s="229"/>
      <c r="J11" s="229"/>
      <c r="K11" s="229"/>
      <c r="L11" s="123"/>
      <c r="N11" s="272"/>
    </row>
    <row r="12" spans="1:16">
      <c r="A12" s="3"/>
      <c r="B12" s="3"/>
      <c r="C12" s="231" t="s">
        <v>136</v>
      </c>
      <c r="D12" s="229"/>
      <c r="E12" s="229"/>
      <c r="F12" s="229"/>
      <c r="G12" s="230">
        <f t="shared" ref="G12" si="2">G10</f>
        <v>1500</v>
      </c>
      <c r="H12" s="229"/>
      <c r="I12" s="229"/>
      <c r="J12" s="229"/>
      <c r="K12" s="229"/>
      <c r="L12" s="123"/>
      <c r="N12" s="272"/>
    </row>
    <row r="13" spans="1:16">
      <c r="A13" s="3"/>
      <c r="B13" s="3"/>
      <c r="C13" s="231"/>
      <c r="D13" s="229"/>
      <c r="E13" s="229"/>
      <c r="F13" s="229"/>
      <c r="G13" s="230"/>
      <c r="H13" s="229"/>
      <c r="I13" s="229"/>
      <c r="J13" s="229"/>
      <c r="K13" s="229"/>
      <c r="L13" s="123"/>
      <c r="N13" s="272"/>
    </row>
    <row r="14" spans="1:16">
      <c r="A14" s="3"/>
      <c r="B14" s="3"/>
      <c r="C14" s="231" t="s">
        <v>137</v>
      </c>
      <c r="D14" s="229"/>
      <c r="E14" s="229"/>
      <c r="F14" s="229"/>
      <c r="G14" s="230">
        <f t="shared" ref="G14" si="3">G12</f>
        <v>1500</v>
      </c>
      <c r="H14" s="229"/>
      <c r="I14" s="229"/>
      <c r="J14" s="229"/>
      <c r="K14" s="229"/>
      <c r="L14" s="123"/>
      <c r="N14" s="272"/>
    </row>
    <row r="15" spans="1:16">
      <c r="A15" s="3"/>
      <c r="B15" s="3"/>
      <c r="C15" s="231"/>
      <c r="D15" s="229"/>
      <c r="E15" s="229"/>
      <c r="F15" s="229"/>
      <c r="G15" s="230"/>
      <c r="H15" s="229"/>
      <c r="I15" s="229"/>
      <c r="J15" s="229"/>
      <c r="K15" s="229"/>
      <c r="L15" s="123"/>
      <c r="N15" s="272"/>
    </row>
    <row r="16" spans="1:16">
      <c r="A16" s="3"/>
      <c r="B16" s="3"/>
      <c r="C16" s="231" t="s">
        <v>138</v>
      </c>
      <c r="D16" s="229"/>
      <c r="E16" s="229"/>
      <c r="F16" s="229"/>
      <c r="G16" s="230">
        <f t="shared" ref="G16" si="4">G14</f>
        <v>1500</v>
      </c>
      <c r="H16" s="229"/>
      <c r="I16" s="229"/>
      <c r="J16" s="229"/>
      <c r="K16" s="229"/>
      <c r="L16" s="123"/>
      <c r="N16" s="272"/>
    </row>
    <row r="17" spans="1:14">
      <c r="A17" s="3"/>
      <c r="B17" s="3"/>
      <c r="C17" s="231"/>
      <c r="D17" s="229"/>
      <c r="E17" s="229"/>
      <c r="F17" s="229"/>
      <c r="G17" s="230"/>
      <c r="H17" s="229"/>
      <c r="I17" s="229"/>
      <c r="J17" s="229"/>
      <c r="K17" s="229"/>
      <c r="L17" s="123"/>
      <c r="N17" s="272"/>
    </row>
    <row r="18" spans="1:14">
      <c r="A18" s="3"/>
      <c r="B18" s="3"/>
      <c r="C18" s="231" t="s">
        <v>139</v>
      </c>
      <c r="D18" s="229"/>
      <c r="E18" s="229"/>
      <c r="F18" s="229"/>
      <c r="G18" s="230">
        <f t="shared" ref="G18" si="5">G16</f>
        <v>1500</v>
      </c>
      <c r="H18" s="229"/>
      <c r="I18" s="229"/>
      <c r="J18" s="229"/>
      <c r="K18" s="229"/>
      <c r="L18" s="123"/>
      <c r="N18" s="272"/>
    </row>
    <row r="19" spans="1:14">
      <c r="A19" s="3"/>
      <c r="B19" s="3"/>
      <c r="C19" s="231"/>
      <c r="D19" s="229"/>
      <c r="E19" s="229"/>
      <c r="F19" s="229"/>
      <c r="G19" s="230"/>
      <c r="H19" s="229"/>
      <c r="I19" s="229"/>
      <c r="J19" s="229"/>
      <c r="K19" s="229"/>
      <c r="L19" s="123"/>
      <c r="N19" s="272"/>
    </row>
    <row r="20" spans="1:14">
      <c r="A20" s="3"/>
      <c r="B20" s="3"/>
      <c r="C20" s="231" t="s">
        <v>140</v>
      </c>
      <c r="D20" s="229"/>
      <c r="E20" s="229"/>
      <c r="F20" s="229"/>
      <c r="G20" s="230">
        <f t="shared" ref="G20" si="6">G18</f>
        <v>1500</v>
      </c>
      <c r="H20" s="229"/>
      <c r="I20" s="229"/>
      <c r="J20" s="229"/>
      <c r="K20" s="229"/>
      <c r="L20" s="123"/>
      <c r="N20" s="272"/>
    </row>
    <row r="21" spans="1:14">
      <c r="A21" s="3"/>
      <c r="B21" s="3"/>
      <c r="C21" s="231"/>
      <c r="D21" s="229"/>
      <c r="E21" s="229"/>
      <c r="F21" s="229"/>
      <c r="G21" s="230"/>
      <c r="H21" s="229"/>
      <c r="I21" s="229"/>
      <c r="J21" s="229"/>
      <c r="K21" s="229"/>
      <c r="L21" s="123"/>
      <c r="N21" s="272"/>
    </row>
    <row r="22" spans="1:14">
      <c r="A22" s="3"/>
      <c r="B22" s="3"/>
      <c r="C22" s="231" t="s">
        <v>141</v>
      </c>
      <c r="D22" s="229"/>
      <c r="E22" s="229"/>
      <c r="F22" s="229"/>
      <c r="G22" s="230">
        <f t="shared" ref="G22" si="7">G20</f>
        <v>1500</v>
      </c>
      <c r="H22" s="229"/>
      <c r="I22" s="229"/>
      <c r="J22" s="229"/>
      <c r="K22" s="229"/>
      <c r="L22" s="123"/>
      <c r="N22" s="272"/>
    </row>
    <row r="23" spans="1:14">
      <c r="A23" s="3"/>
      <c r="B23" s="3"/>
      <c r="C23" s="231"/>
      <c r="D23" s="229"/>
      <c r="E23" s="229"/>
      <c r="F23" s="229"/>
      <c r="G23" s="230"/>
      <c r="H23" s="229"/>
      <c r="I23" s="229"/>
      <c r="J23" s="229"/>
      <c r="K23" s="229"/>
      <c r="L23" s="123"/>
      <c r="N23" s="272"/>
    </row>
    <row r="24" spans="1:14">
      <c r="A24" s="3"/>
      <c r="B24" s="3"/>
      <c r="C24" s="231" t="s">
        <v>142</v>
      </c>
      <c r="D24" s="229"/>
      <c r="E24" s="229"/>
      <c r="F24" s="229"/>
      <c r="G24" s="230">
        <f t="shared" ref="G24" si="8">G22</f>
        <v>1500</v>
      </c>
      <c r="H24" s="229"/>
      <c r="I24" s="229"/>
      <c r="J24" s="229"/>
      <c r="K24" s="229"/>
      <c r="L24" s="123"/>
      <c r="N24" s="272"/>
    </row>
    <row r="25" spans="1:14">
      <c r="A25" s="3"/>
      <c r="B25" s="3"/>
      <c r="C25" s="231"/>
      <c r="D25" s="229"/>
      <c r="E25" s="229"/>
      <c r="F25" s="229"/>
      <c r="G25" s="230"/>
      <c r="H25" s="229"/>
      <c r="I25" s="229"/>
      <c r="J25" s="229"/>
      <c r="K25" s="229"/>
      <c r="L25" s="123"/>
      <c r="N25" s="272"/>
    </row>
    <row r="26" spans="1:14">
      <c r="A26" s="3"/>
      <c r="B26" s="3"/>
      <c r="C26" s="231" t="s">
        <v>143</v>
      </c>
      <c r="D26" s="229"/>
      <c r="E26" s="229"/>
      <c r="F26" s="229"/>
      <c r="G26" s="230">
        <f t="shared" ref="G26" si="9">G24</f>
        <v>1500</v>
      </c>
      <c r="H26" s="229"/>
      <c r="I26" s="229"/>
      <c r="J26" s="229"/>
      <c r="K26" s="229"/>
      <c r="L26" s="123"/>
      <c r="N26" s="272"/>
    </row>
    <row r="27" spans="1:14">
      <c r="A27" s="3"/>
      <c r="B27" s="3"/>
      <c r="C27" s="231"/>
      <c r="D27" s="229"/>
      <c r="E27" s="229"/>
      <c r="F27" s="229"/>
      <c r="G27" s="230"/>
      <c r="H27" s="229"/>
      <c r="I27" s="229"/>
      <c r="J27" s="229"/>
      <c r="K27" s="229"/>
      <c r="L27" s="123"/>
      <c r="N27" s="272"/>
    </row>
    <row r="28" spans="1:14">
      <c r="A28" s="3"/>
      <c r="B28" s="3"/>
      <c r="C28" s="117"/>
      <c r="D28" s="3"/>
      <c r="E28" s="3"/>
      <c r="F28" s="3"/>
      <c r="G28" s="3"/>
      <c r="H28" s="3"/>
      <c r="I28" s="3"/>
      <c r="J28" s="3"/>
      <c r="K28" s="3"/>
      <c r="L28" s="3"/>
    </row>
  </sheetData>
  <mergeCells count="124">
    <mergeCell ref="C1:D2"/>
    <mergeCell ref="E1:K2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C6:C7"/>
    <mergeCell ref="D6:D7"/>
    <mergeCell ref="E6:E7"/>
    <mergeCell ref="F6:F7"/>
    <mergeCell ref="G6:G7"/>
    <mergeCell ref="H6:H7"/>
    <mergeCell ref="I6:I7"/>
    <mergeCell ref="J6:J7"/>
    <mergeCell ref="K6:K7"/>
    <mergeCell ref="C12:C13"/>
    <mergeCell ref="D12:D13"/>
    <mergeCell ref="E12:E13"/>
    <mergeCell ref="F12:F13"/>
    <mergeCell ref="G12:G13"/>
    <mergeCell ref="H12:H13"/>
    <mergeCell ref="I12:I13"/>
    <mergeCell ref="J12:J13"/>
    <mergeCell ref="I8:I9"/>
    <mergeCell ref="J8:J9"/>
    <mergeCell ref="C10:C11"/>
    <mergeCell ref="D10:D11"/>
    <mergeCell ref="E10:E11"/>
    <mergeCell ref="F10:F11"/>
    <mergeCell ref="G10:G11"/>
    <mergeCell ref="H10:H11"/>
    <mergeCell ref="I10:I11"/>
    <mergeCell ref="C8:C9"/>
    <mergeCell ref="D8:D9"/>
    <mergeCell ref="E8:E9"/>
    <mergeCell ref="F8:F9"/>
    <mergeCell ref="G8:G9"/>
    <mergeCell ref="H8:H9"/>
    <mergeCell ref="C14:C15"/>
    <mergeCell ref="D14:D15"/>
    <mergeCell ref="E14:E15"/>
    <mergeCell ref="F14:F15"/>
    <mergeCell ref="G14:G15"/>
    <mergeCell ref="H14:H15"/>
    <mergeCell ref="I14:I15"/>
    <mergeCell ref="J14:J15"/>
    <mergeCell ref="K14:K15"/>
    <mergeCell ref="C20:C21"/>
    <mergeCell ref="D20:D21"/>
    <mergeCell ref="E20:E21"/>
    <mergeCell ref="F20:F21"/>
    <mergeCell ref="G20:G21"/>
    <mergeCell ref="H20:H21"/>
    <mergeCell ref="I20:I21"/>
    <mergeCell ref="J20:J21"/>
    <mergeCell ref="I16:I17"/>
    <mergeCell ref="J16:J17"/>
    <mergeCell ref="C18:C19"/>
    <mergeCell ref="D18:D19"/>
    <mergeCell ref="E18:E19"/>
    <mergeCell ref="F18:F19"/>
    <mergeCell ref="G18:G19"/>
    <mergeCell ref="H18:H19"/>
    <mergeCell ref="I18:I19"/>
    <mergeCell ref="C16:C17"/>
    <mergeCell ref="D16:D17"/>
    <mergeCell ref="E16:E17"/>
    <mergeCell ref="F16:F17"/>
    <mergeCell ref="G16:G17"/>
    <mergeCell ref="H16:H17"/>
    <mergeCell ref="C22:C23"/>
    <mergeCell ref="D22:D23"/>
    <mergeCell ref="E22:E23"/>
    <mergeCell ref="F22:F23"/>
    <mergeCell ref="G22:G23"/>
    <mergeCell ref="H22:H23"/>
    <mergeCell ref="I22:I23"/>
    <mergeCell ref="J22:J23"/>
    <mergeCell ref="K22:K23"/>
    <mergeCell ref="I24:I25"/>
    <mergeCell ref="J24:J25"/>
    <mergeCell ref="K24:K25"/>
    <mergeCell ref="C26:C27"/>
    <mergeCell ref="D26:D27"/>
    <mergeCell ref="E26:E27"/>
    <mergeCell ref="F26:F27"/>
    <mergeCell ref="G26:G27"/>
    <mergeCell ref="H26:H27"/>
    <mergeCell ref="I26:I27"/>
    <mergeCell ref="C24:C25"/>
    <mergeCell ref="D24:D25"/>
    <mergeCell ref="E24:E25"/>
    <mergeCell ref="F24:F25"/>
    <mergeCell ref="G24:G25"/>
    <mergeCell ref="H24:H25"/>
    <mergeCell ref="N16:N17"/>
    <mergeCell ref="N18:N19"/>
    <mergeCell ref="N20:N21"/>
    <mergeCell ref="N22:N23"/>
    <mergeCell ref="N24:N25"/>
    <mergeCell ref="N26:N27"/>
    <mergeCell ref="J26:J27"/>
    <mergeCell ref="K26:K27"/>
    <mergeCell ref="P2:P3"/>
    <mergeCell ref="N1:N2"/>
    <mergeCell ref="N4:N5"/>
    <mergeCell ref="N6:N7"/>
    <mergeCell ref="N8:N9"/>
    <mergeCell ref="N10:N11"/>
    <mergeCell ref="N12:N13"/>
    <mergeCell ref="N14:N15"/>
    <mergeCell ref="K20:K21"/>
    <mergeCell ref="J18:J19"/>
    <mergeCell ref="K18:K19"/>
    <mergeCell ref="K16:K17"/>
    <mergeCell ref="K12:K13"/>
    <mergeCell ref="J10:J11"/>
    <mergeCell ref="K10:K11"/>
    <mergeCell ref="K8:K9"/>
  </mergeCells>
  <conditionalFormatting sqref="Q14">
    <cfRule type="expression" dxfId="4" priority="8">
      <formula>"if+$N$3=1,$C$4:$K$5"</formula>
    </cfRule>
  </conditionalFormatting>
  <conditionalFormatting sqref="C6:C9">
    <cfRule type="expression" dxfId="3" priority="4">
      <formula>$N$6=1</formula>
    </cfRule>
  </conditionalFormatting>
  <conditionalFormatting sqref="C4:C5">
    <cfRule type="expression" dxfId="2" priority="3">
      <formula>$N$4=1</formula>
    </cfRule>
    <cfRule type="expression" dxfId="1" priority="2">
      <formula>$N$4=1</formula>
    </cfRule>
  </conditionalFormatting>
  <conditionalFormatting sqref="G4:G5">
    <cfRule type="expression" dxfId="0" priority="1">
      <formula>$N$4=1</formula>
    </cfRule>
  </conditionalFormatting>
  <pageMargins left="0" right="0" top="0.25" bottom="0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2016 </vt:lpstr>
      <vt:lpstr>2017</vt:lpstr>
      <vt:lpstr>2018</vt:lpstr>
      <vt:lpstr>2019</vt:lpstr>
      <vt:lpstr>2020</vt:lpstr>
      <vt:lpstr>Sheet1</vt:lpstr>
      <vt:lpstr>Sheet2</vt:lpstr>
      <vt:lpstr>Sheet3</vt:lpstr>
      <vt:lpstr>passbook</vt:lpstr>
      <vt:lpstr>'2020'!Print_Area</vt:lpstr>
      <vt:lpstr>Sheet3!Print_Area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BISWAJIT</dc:creator>
  <cp:lastModifiedBy>Biswajit</cp:lastModifiedBy>
  <cp:lastPrinted>2021-04-18T15:36:14Z</cp:lastPrinted>
  <dcterms:created xsi:type="dcterms:W3CDTF">2020-04-11T13:03:22Z</dcterms:created>
  <dcterms:modified xsi:type="dcterms:W3CDTF">2021-04-19T04:42:01Z</dcterms:modified>
</cp:coreProperties>
</file>